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340"/>
  </bookViews>
  <sheets>
    <sheet name="2012 Report" sheetId="2" r:id="rId1"/>
  </sheets>
  <definedNames>
    <definedName name="_xlnm.Print_Area" localSheetId="0">'2012 Report'!$A$1:$R$43</definedName>
  </definedNames>
  <calcPr calcId="145621"/>
</workbook>
</file>

<file path=xl/calcChain.xml><?xml version="1.0" encoding="utf-8"?>
<calcChain xmlns="http://schemas.openxmlformats.org/spreadsheetml/2006/main">
  <c r="O57" i="2" l="1"/>
  <c r="K57" i="2"/>
  <c r="I57" i="2"/>
  <c r="L57" i="2"/>
  <c r="H57" i="2"/>
  <c r="N57" i="2"/>
  <c r="AA57" i="2"/>
  <c r="R57" i="2"/>
  <c r="E57" i="2"/>
  <c r="O56" i="2"/>
  <c r="I56" i="2"/>
  <c r="L56" i="2"/>
  <c r="H56" i="2"/>
  <c r="N56" i="2"/>
  <c r="E56" i="2"/>
  <c r="AA55" i="2"/>
  <c r="Y55" i="2"/>
  <c r="R55" i="2"/>
  <c r="O55" i="2"/>
  <c r="P55" i="2"/>
  <c r="J55" i="2"/>
  <c r="E55" i="2"/>
  <c r="AA54" i="2"/>
  <c r="Y54" i="2"/>
  <c r="O54" i="2"/>
  <c r="P54" i="2"/>
  <c r="H54" i="2"/>
  <c r="J54" i="2"/>
  <c r="E54" i="2"/>
  <c r="Y53" i="2"/>
  <c r="R53" i="2"/>
  <c r="Q53" i="2"/>
  <c r="O53" i="2"/>
  <c r="L53" i="2"/>
  <c r="K53" i="2"/>
  <c r="H53" i="2"/>
  <c r="N53" i="2"/>
  <c r="E53" i="2"/>
  <c r="W52" i="2"/>
  <c r="Y52" i="2"/>
  <c r="R52" i="2"/>
  <c r="Q52" i="2"/>
  <c r="O52" i="2"/>
  <c r="N52" i="2"/>
  <c r="P52" i="2"/>
  <c r="L52" i="2"/>
  <c r="K52" i="2"/>
  <c r="J52" i="2"/>
  <c r="M52" i="2"/>
  <c r="E52" i="2"/>
  <c r="Y42" i="2"/>
  <c r="Q10" i="2"/>
  <c r="AA44" i="2"/>
  <c r="Q33" i="2"/>
  <c r="Q34" i="2"/>
  <c r="Q23" i="2"/>
  <c r="Y23" i="2"/>
  <c r="Q22" i="2"/>
  <c r="X40" i="2"/>
  <c r="Y40" i="2"/>
  <c r="W40" i="2"/>
  <c r="Q41" i="2"/>
  <c r="Q38" i="2"/>
  <c r="Q36" i="2"/>
  <c r="Q35" i="2"/>
  <c r="Y41" i="2"/>
  <c r="Y39" i="2"/>
  <c r="Y38" i="2"/>
  <c r="Y37" i="2"/>
  <c r="Y36" i="2"/>
  <c r="Y35" i="2"/>
  <c r="Y32" i="2"/>
  <c r="Q30" i="2"/>
  <c r="Y30" i="2"/>
  <c r="Y29" i="2"/>
  <c r="Q29" i="2"/>
  <c r="Y26" i="2"/>
  <c r="Y25" i="2"/>
  <c r="Q28" i="2"/>
  <c r="Q27" i="2"/>
  <c r="Y24" i="2"/>
  <c r="Y21" i="2"/>
  <c r="Q26" i="2"/>
  <c r="Y20" i="2"/>
  <c r="Y19" i="2"/>
  <c r="Y18" i="2"/>
  <c r="Y17" i="2"/>
  <c r="Y15" i="2"/>
  <c r="Y14" i="2"/>
  <c r="Y13" i="2"/>
  <c r="Y12" i="2"/>
  <c r="Y11" i="2"/>
  <c r="Q24" i="2"/>
  <c r="Y10" i="2"/>
  <c r="Q21" i="2"/>
  <c r="Q20" i="2"/>
  <c r="AA20" i="2"/>
  <c r="R20" i="2"/>
  <c r="Q19" i="2"/>
  <c r="Q18" i="2"/>
  <c r="Q17" i="2"/>
  <c r="Q15" i="2"/>
  <c r="Y28" i="2"/>
  <c r="Y27" i="2"/>
  <c r="I28" i="2"/>
  <c r="J28" i="2"/>
  <c r="M28" i="2"/>
  <c r="H28" i="2"/>
  <c r="N28" i="2"/>
  <c r="AA28" i="2"/>
  <c r="R28" i="2"/>
  <c r="E28" i="2"/>
  <c r="O34" i="2"/>
  <c r="N34" i="2"/>
  <c r="J34" i="2"/>
  <c r="M34" i="2"/>
  <c r="E34" i="2"/>
  <c r="O39" i="2"/>
  <c r="H39" i="2"/>
  <c r="N22" i="2"/>
  <c r="AA22" i="2"/>
  <c r="R22" i="2"/>
  <c r="I22" i="2"/>
  <c r="O22" i="2"/>
  <c r="E39" i="2"/>
  <c r="P11" i="2"/>
  <c r="J11" i="2"/>
  <c r="M11" i="2"/>
  <c r="H18" i="2"/>
  <c r="J18" i="2"/>
  <c r="M18" i="2"/>
  <c r="E18" i="2"/>
  <c r="H24" i="2"/>
  <c r="J24" i="2"/>
  <c r="M24" i="2"/>
  <c r="E24" i="2"/>
  <c r="O31" i="2"/>
  <c r="N31" i="2"/>
  <c r="E31" i="2"/>
  <c r="H32" i="2"/>
  <c r="N32" i="2"/>
  <c r="AA32" i="2"/>
  <c r="I32" i="2"/>
  <c r="O32" i="2"/>
  <c r="P32" i="2"/>
  <c r="E32" i="2"/>
  <c r="N10" i="2"/>
  <c r="I10" i="2"/>
  <c r="L10" i="2"/>
  <c r="H10" i="2"/>
  <c r="J10" i="2"/>
  <c r="M10" i="2"/>
  <c r="E10" i="2"/>
  <c r="H21" i="2"/>
  <c r="N21" i="2"/>
  <c r="AA21" i="2"/>
  <c r="E21" i="2"/>
  <c r="I27" i="2"/>
  <c r="O27" i="2"/>
  <c r="H27" i="2"/>
  <c r="K27" i="2"/>
  <c r="E27" i="2"/>
  <c r="I29" i="2"/>
  <c r="L29" i="2"/>
  <c r="J29" i="2"/>
  <c r="M29" i="2"/>
  <c r="H29" i="2"/>
  <c r="N29" i="2"/>
  <c r="E29" i="2"/>
  <c r="N37" i="2"/>
  <c r="AA37" i="2"/>
  <c r="I37" i="2"/>
  <c r="J37" i="2"/>
  <c r="M37" i="2"/>
  <c r="O37" i="2"/>
  <c r="E37" i="2"/>
  <c r="N40" i="2"/>
  <c r="AA40" i="2"/>
  <c r="O26" i="2"/>
  <c r="N26" i="2"/>
  <c r="P26" i="2"/>
  <c r="J26" i="2"/>
  <c r="M26" i="2"/>
  <c r="E26" i="2"/>
  <c r="E15" i="2"/>
  <c r="H15" i="2"/>
  <c r="I12" i="2"/>
  <c r="O12" i="2"/>
  <c r="H12" i="2"/>
  <c r="N12" i="2"/>
  <c r="E12" i="2"/>
  <c r="N19" i="2"/>
  <c r="I19" i="2"/>
  <c r="J19" i="2"/>
  <c r="M19" i="2"/>
  <c r="I35" i="2"/>
  <c r="L35" i="2"/>
  <c r="E19" i="2"/>
  <c r="N35" i="2"/>
  <c r="AA35" i="2"/>
  <c r="E35" i="2"/>
  <c r="E25" i="2"/>
  <c r="O25" i="2"/>
  <c r="N25" i="2"/>
  <c r="AA25" i="2"/>
  <c r="J25" i="2"/>
  <c r="M25" i="2"/>
  <c r="I14" i="2"/>
  <c r="L14" i="2"/>
  <c r="H14" i="2"/>
  <c r="N14" i="2"/>
  <c r="AA14" i="2"/>
  <c r="R14" i="2"/>
  <c r="E14" i="2"/>
  <c r="H17" i="2"/>
  <c r="N17" i="2"/>
  <c r="P17" i="2"/>
  <c r="E17" i="2"/>
  <c r="O42" i="2"/>
  <c r="N42" i="2"/>
  <c r="AA42" i="2"/>
  <c r="I42" i="2"/>
  <c r="J42" i="2"/>
  <c r="H42" i="2"/>
  <c r="E42" i="2"/>
  <c r="H36" i="2"/>
  <c r="J36" i="2"/>
  <c r="M36" i="2"/>
  <c r="E36" i="2"/>
  <c r="I23" i="2"/>
  <c r="O23" i="2"/>
  <c r="H23" i="2"/>
  <c r="N23" i="2"/>
  <c r="AA23" i="2"/>
  <c r="E23" i="2"/>
  <c r="O16" i="2"/>
  <c r="H16" i="2"/>
  <c r="J16" i="2"/>
  <c r="M16" i="2"/>
  <c r="E16" i="2"/>
  <c r="I30" i="2"/>
  <c r="O30" i="2"/>
  <c r="H30" i="2"/>
  <c r="N30" i="2"/>
  <c r="AA30" i="2"/>
  <c r="E30" i="2"/>
  <c r="I41" i="2"/>
  <c r="O41" i="2"/>
  <c r="P41" i="2"/>
  <c r="L41" i="2"/>
  <c r="H41" i="2"/>
  <c r="N41" i="2"/>
  <c r="AA41" i="2"/>
  <c r="E41" i="2"/>
  <c r="H33" i="2"/>
  <c r="N33" i="2"/>
  <c r="I33" i="2"/>
  <c r="O33" i="2"/>
  <c r="O38" i="2"/>
  <c r="H38" i="2"/>
  <c r="J38" i="2"/>
  <c r="M38" i="2"/>
  <c r="E38" i="2"/>
  <c r="N20" i="2"/>
  <c r="P20" i="2"/>
  <c r="H20" i="2"/>
  <c r="K20" i="2"/>
  <c r="J20" i="2"/>
  <c r="M20" i="2"/>
  <c r="E20" i="2"/>
  <c r="N13" i="2"/>
  <c r="I13" i="2"/>
  <c r="O13" i="2"/>
  <c r="H13" i="2"/>
  <c r="K13" i="2"/>
  <c r="E13" i="2"/>
  <c r="L39" i="2"/>
  <c r="J40" i="2"/>
  <c r="M40" i="2"/>
  <c r="I21" i="2"/>
  <c r="O21" i="2"/>
  <c r="AI64" i="2"/>
  <c r="AI63" i="2"/>
  <c r="K35" i="2"/>
  <c r="J31" i="2"/>
  <c r="M31" i="2"/>
  <c r="I15" i="2"/>
  <c r="O15" i="2"/>
  <c r="I36" i="2"/>
  <c r="O36" i="2"/>
  <c r="AA50" i="2"/>
  <c r="AA49" i="2"/>
  <c r="AA47" i="2"/>
  <c r="AA43" i="2"/>
  <c r="M43" i="2"/>
  <c r="L43" i="2"/>
  <c r="K43" i="2"/>
  <c r="K22" i="2"/>
  <c r="K11" i="2"/>
  <c r="L11" i="2"/>
  <c r="K12" i="2"/>
  <c r="L13" i="2"/>
  <c r="AA11" i="2"/>
  <c r="L17" i="2"/>
  <c r="L18" i="2"/>
  <c r="K34" i="2"/>
  <c r="L34" i="2"/>
  <c r="K19" i="2"/>
  <c r="L20" i="2"/>
  <c r="L24" i="2"/>
  <c r="K25" i="2"/>
  <c r="K26" i="2"/>
  <c r="L26" i="2"/>
  <c r="K28" i="2"/>
  <c r="L28" i="2"/>
  <c r="K29" i="2"/>
  <c r="K30" i="2"/>
  <c r="L16" i="2"/>
  <c r="K31" i="2"/>
  <c r="L31" i="2"/>
  <c r="AA48" i="2"/>
  <c r="AA51" i="2"/>
  <c r="K37" i="2"/>
  <c r="L40" i="2"/>
  <c r="AI65" i="2"/>
  <c r="L25" i="2"/>
  <c r="K21" i="2"/>
  <c r="K18" i="2"/>
  <c r="K32" i="2"/>
  <c r="J13" i="2"/>
  <c r="M13" i="2"/>
  <c r="J17" i="2"/>
  <c r="M17" i="2"/>
  <c r="J32" i="2"/>
  <c r="M32" i="2"/>
  <c r="K14" i="2"/>
  <c r="L19" i="2"/>
  <c r="L21" i="2"/>
  <c r="K36" i="2"/>
  <c r="AA19" i="2"/>
  <c r="K24" i="2"/>
  <c r="N24" i="2"/>
  <c r="AA24" i="2"/>
  <c r="K15" i="2"/>
  <c r="J15" i="2"/>
  <c r="M15" i="2"/>
  <c r="N15" i="2"/>
  <c r="P15" i="2"/>
  <c r="N38" i="2"/>
  <c r="AA38" i="2"/>
  <c r="K39" i="2"/>
  <c r="N39" i="2"/>
  <c r="J39" i="2"/>
  <c r="M39" i="2"/>
  <c r="L36" i="2"/>
  <c r="L22" i="2"/>
  <c r="N27" i="2"/>
  <c r="AA27" i="2"/>
  <c r="L15" i="2"/>
  <c r="N36" i="2"/>
  <c r="J33" i="2"/>
  <c r="M33" i="2"/>
  <c r="O14" i="2"/>
  <c r="J22" i="2"/>
  <c r="M22" i="2"/>
  <c r="J21" i="2"/>
  <c r="M21" i="2"/>
  <c r="J14" i="2"/>
  <c r="M14" i="2"/>
  <c r="O29" i="2"/>
  <c r="L30" i="2"/>
  <c r="K41" i="2"/>
  <c r="L37" i="2"/>
  <c r="K33" i="2"/>
  <c r="O28" i="2"/>
  <c r="L33" i="2"/>
  <c r="K16" i="2"/>
  <c r="J30" i="2"/>
  <c r="M30" i="2"/>
  <c r="AA36" i="2"/>
  <c r="R36" i="2"/>
  <c r="P24" i="2"/>
  <c r="P34" i="2"/>
  <c r="AA26" i="2"/>
  <c r="P27" i="2"/>
  <c r="R11" i="2"/>
  <c r="R37" i="2"/>
  <c r="P25" i="2"/>
  <c r="P22" i="2"/>
  <c r="R26" i="2"/>
  <c r="R24" i="2"/>
  <c r="P39" i="2"/>
  <c r="R42" i="2"/>
  <c r="AA17" i="2"/>
  <c r="R17" i="2"/>
  <c r="AA33" i="2"/>
  <c r="R33" i="2"/>
  <c r="P33" i="2"/>
  <c r="P23" i="2"/>
  <c r="P12" i="2"/>
  <c r="AA12" i="2"/>
  <c r="R12" i="2"/>
  <c r="L23" i="2"/>
  <c r="P30" i="2"/>
  <c r="O35" i="2"/>
  <c r="P35" i="2"/>
  <c r="P37" i="2"/>
  <c r="P29" i="2"/>
  <c r="R35" i="2"/>
  <c r="N16" i="2"/>
  <c r="K23" i="2"/>
  <c r="J41" i="2"/>
  <c r="M41" i="2"/>
  <c r="K10" i="2"/>
  <c r="P36" i="2"/>
  <c r="P21" i="2"/>
  <c r="J27" i="2"/>
  <c r="M27" i="2"/>
  <c r="K17" i="2"/>
  <c r="J12" i="2"/>
  <c r="M12" i="2"/>
  <c r="L12" i="2"/>
  <c r="P40" i="2"/>
  <c r="J35" i="2"/>
  <c r="M35" i="2"/>
  <c r="P19" i="2"/>
  <c r="P31" i="2"/>
  <c r="N18" i="2"/>
  <c r="P18" i="2"/>
  <c r="R21" i="2"/>
  <c r="P53" i="2"/>
  <c r="K56" i="2"/>
  <c r="P13" i="2"/>
  <c r="R40" i="2"/>
  <c r="R41" i="2"/>
  <c r="R23" i="2"/>
  <c r="J23" i="2"/>
  <c r="M23" i="2"/>
  <c r="L27" i="2"/>
  <c r="R19" i="2"/>
  <c r="O19" i="2"/>
  <c r="O10" i="2"/>
  <c r="P10" i="2"/>
  <c r="P42" i="2"/>
  <c r="L32" i="2"/>
  <c r="AA34" i="2"/>
  <c r="R34" i="2"/>
  <c r="R32" i="2"/>
  <c r="R54" i="2"/>
  <c r="AA56" i="2"/>
  <c r="R56" i="2"/>
  <c r="P56" i="2"/>
  <c r="P57" i="2"/>
  <c r="J53" i="2"/>
  <c r="M53" i="2"/>
  <c r="J56" i="2"/>
  <c r="M56" i="2"/>
  <c r="J57" i="2"/>
  <c r="M57" i="2"/>
  <c r="R30" i="2"/>
  <c r="R38" i="2"/>
  <c r="R25" i="2"/>
  <c r="R27" i="2"/>
  <c r="P14" i="2"/>
  <c r="P38" i="2"/>
  <c r="AA15" i="2"/>
  <c r="R15" i="2"/>
  <c r="AA31" i="2"/>
  <c r="R31" i="2"/>
  <c r="AA39" i="2"/>
  <c r="R39" i="2"/>
  <c r="AA10" i="2"/>
  <c r="R10" i="2"/>
  <c r="P28" i="2"/>
  <c r="AA29" i="2"/>
  <c r="R29" i="2"/>
  <c r="AA13" i="2"/>
  <c r="R13" i="2"/>
  <c r="P16" i="2"/>
  <c r="AA16" i="2"/>
  <c r="R16" i="2"/>
  <c r="AA18" i="2"/>
  <c r="R18" i="2"/>
  <c r="R43" i="2"/>
</calcChain>
</file>

<file path=xl/sharedStrings.xml><?xml version="1.0" encoding="utf-8"?>
<sst xmlns="http://schemas.openxmlformats.org/spreadsheetml/2006/main" count="264" uniqueCount="133">
  <si>
    <t>T.I.F.  DISTRICTS  /  B.E.T.R.  OVERLAP  STUDY</t>
  </si>
  <si>
    <t>Name of Business</t>
  </si>
  <si>
    <t xml:space="preserve">Municipality </t>
  </si>
  <si>
    <t>Extent of Overlap for B.E.T.R. and T.I.F.</t>
  </si>
  <si>
    <t>CAPTURED  ASSESSED  VALUE</t>
  </si>
  <si>
    <t>PERSONALTY</t>
  </si>
  <si>
    <t>REALTY</t>
  </si>
  <si>
    <t>TOTAL</t>
  </si>
  <si>
    <t>Westbrook</t>
  </si>
  <si>
    <t>Bath</t>
  </si>
  <si>
    <t>Brewer</t>
  </si>
  <si>
    <t>South Portland</t>
  </si>
  <si>
    <t>Waterville</t>
  </si>
  <si>
    <t>Guilford</t>
  </si>
  <si>
    <t>Augusta</t>
  </si>
  <si>
    <t>Millinocket</t>
  </si>
  <si>
    <t>Madison</t>
  </si>
  <si>
    <t>Hollis</t>
  </si>
  <si>
    <t>Portland</t>
  </si>
  <si>
    <t>Auburn</t>
  </si>
  <si>
    <t>Jay</t>
  </si>
  <si>
    <t>Biddeford</t>
  </si>
  <si>
    <t>Gorham</t>
  </si>
  <si>
    <t>Bucksport</t>
  </si>
  <si>
    <t>Freeport</t>
  </si>
  <si>
    <t>Searsport</t>
  </si>
  <si>
    <t>LL Bean Inc</t>
  </si>
  <si>
    <t>Pleasant River Lumber Co.</t>
  </si>
  <si>
    <t>Nestle Waters North America Inc</t>
  </si>
  <si>
    <t>D &amp; G Machine Products Inc</t>
  </si>
  <si>
    <t>Poland</t>
  </si>
  <si>
    <t>Robbins Lumber Inc</t>
  </si>
  <si>
    <t>Searsmont</t>
  </si>
  <si>
    <t>Tambrands Inc.</t>
  </si>
  <si>
    <t>Volk Packaging Corporation</t>
  </si>
  <si>
    <t>Stratton Lumber</t>
  </si>
  <si>
    <t>Eustis</t>
  </si>
  <si>
    <t>Fairchild Semiconductor Corporation</t>
  </si>
  <si>
    <t>NRF Distributors</t>
  </si>
  <si>
    <t>Verso Paper</t>
  </si>
  <si>
    <t>Moose River Lumber Co.</t>
  </si>
  <si>
    <t>Moose River</t>
  </si>
  <si>
    <t>Unum Group</t>
  </si>
  <si>
    <t>Bath Iron Works Corporation</t>
  </si>
  <si>
    <t>Skowhegan</t>
  </si>
  <si>
    <t>Backyard Farms LLC</t>
  </si>
  <si>
    <t>Lincoln Paper &amp; Tissue, LLC</t>
  </si>
  <si>
    <t>Lincoln</t>
  </si>
  <si>
    <t>Dingley Press, Inc.</t>
  </si>
  <si>
    <t>Lisbon</t>
  </si>
  <si>
    <t>Portage Lake</t>
  </si>
  <si>
    <t>Mid State Machine Products</t>
  </si>
  <si>
    <t>DeLorme Publishing Co Inc.</t>
  </si>
  <si>
    <t>Yarmouth</t>
  </si>
  <si>
    <t>Lanco Assemble Systems, Inc.</t>
  </si>
  <si>
    <t>Fairfield</t>
  </si>
  <si>
    <t>True Textiles, Inc.(formerly Interface Fabric)</t>
  </si>
  <si>
    <t>Dover-Foxcroft</t>
  </si>
  <si>
    <t>Verso Paper  (Phoenix, Hercules)</t>
  </si>
  <si>
    <t>2010 PROPERTY TAXES PAID ON</t>
  </si>
  <si>
    <t>GNP West Inc.</t>
  </si>
  <si>
    <t>Forms from Trips</t>
  </si>
  <si>
    <t>Y</t>
  </si>
  <si>
    <t>DATA entry</t>
  </si>
  <si>
    <t>No Tif Report filed</t>
  </si>
  <si>
    <t>Nichols Portland / Parker Hannifin</t>
  </si>
  <si>
    <t>PPSA Overseas LTD / Imery's Clay (new name)</t>
  </si>
  <si>
    <t>TIF form incldued in Application</t>
  </si>
  <si>
    <t>General Electric Company</t>
  </si>
  <si>
    <t>q10 year TIF expired per Vantuinen</t>
  </si>
  <si>
    <t>TIF expired per town</t>
  </si>
  <si>
    <t>Formed Fiber Technologies</t>
  </si>
  <si>
    <t>Bangor</t>
  </si>
  <si>
    <t>Information from city</t>
  </si>
  <si>
    <t>Huhtamaki Inc</t>
  </si>
  <si>
    <t>100% Capture, 75% CEA for RE &amp; PP, BETR in &amp; out of TIF</t>
  </si>
  <si>
    <t>T.I.F.  REIMBURSEMENT TO CO.</t>
  </si>
  <si>
    <t>Total Value of T.I.F. District Property (Including BETE &amp; OAV)</t>
  </si>
  <si>
    <t>They capture 85% of RE &amp; PP and have a CEA of 85% and 15% to town for authorized TIF projects</t>
  </si>
  <si>
    <t>They capture 100% of RE and PP up to 35 million and 100% of that is CEA</t>
  </si>
  <si>
    <t>100% Capture, 99% CEA for RE and PP, 1% municipal retention</t>
  </si>
  <si>
    <t>50% Capture for RE and PP with 100% of the captured value going back to Delorme by way of CEA</t>
  </si>
  <si>
    <t>National Semiconductor Corp(Texas Instruments)</t>
  </si>
  <si>
    <t>100% capture of RE and PP, 50% CEA on RE and PP</t>
  </si>
  <si>
    <t>Soleras Advanced Coatings LTD</t>
  </si>
  <si>
    <t>They capture 50 % of RE and PP and 100% of that 50% is CEA with Soleras. Remaining 50% goes to City general fund</t>
  </si>
  <si>
    <t>These are PP TIF's only with Phoenix TIF being 100% CEA, the Hercules is 60%CEA</t>
  </si>
  <si>
    <t>Sysco Food Services of Northern New England</t>
  </si>
  <si>
    <t>100% Capture of RE and PP, 50% CEA on RE and PP</t>
  </si>
  <si>
    <t>Hallowell</t>
  </si>
  <si>
    <t>They capture 40% of RE and PP with 100% of that 40% going back to NRF Distributors in CEA, remaining 60% to city general fund</t>
  </si>
  <si>
    <t>2 Tifs, 1st one they capture 35% of RE &amp; PP and 100% of that 35% goes back in CEA, 65% goes to general fund, second one is RE only with a 40% capture, 100% of that 40% is returned in CEA and remaining 60% goes to general fund</t>
  </si>
  <si>
    <t>Somic America</t>
  </si>
  <si>
    <t>V.I.P. Inc.</t>
  </si>
  <si>
    <t>50% Capture of RE and PP, with 100% of the 50% capture returned to VIP in the form of CEA</t>
  </si>
  <si>
    <t>2012 Tax Rate</t>
  </si>
  <si>
    <t>2013-2014 Total B.E.T.R. Reimbursements Paid to Businesses Based on April 1, 2012 Property Tax Assessments (Both TIF &amp; Non TIF)</t>
  </si>
  <si>
    <t>Amount of 2013 TIF Reimbursement also reimbursed under B.E.T.R.</t>
  </si>
  <si>
    <t>2013 CLAIM</t>
  </si>
  <si>
    <t>2014  CLAIM</t>
  </si>
  <si>
    <t>Woodlands Senior Living</t>
  </si>
  <si>
    <t>S.D. Warren</t>
  </si>
  <si>
    <t>Maine Woods Company</t>
  </si>
  <si>
    <t>Mainely Trusses Incorporated</t>
  </si>
  <si>
    <t>Trans-Tech Industries Incorporated</t>
  </si>
  <si>
    <t>This is a PP&amp; RE TIF but no increase in RE since inception, Capture 100% with a 65%/35% split(65% CEA to LPT)-dependent on employment levels-check annually</t>
  </si>
  <si>
    <t>They capture 50% of RE and PP with 100% CEA with Volk on that 50% of captured value. Remaining 50% goes to general fund</t>
  </si>
  <si>
    <t>They capture 50% of PP with 100% of that 50% going to GE in CEA, they capture 100% of R/E with 100% of that going to GE in CEA</t>
  </si>
  <si>
    <t>They capture 30% of RE &amp; PP with 100% of that 30% going back to Trans Tech in the form of a CEA, all other funds go to the City of Brewer General Fund-changes annually</t>
  </si>
  <si>
    <t>They capture 100% of RE with 100% going back to Somic America by way of CEA, they capture 100% of the PP with all of that going into a city special reserve fund-100% municipal retention TIF prior to 4/1/08 on PP</t>
  </si>
  <si>
    <t>They capture 100% of Real Estate and Personal Property, with a 75% CEA with Mainely Trusses, the remaining 25% goes into a specifically designated Economic Development Account</t>
  </si>
  <si>
    <t>49% of increase above OAV is CEA to developer, 1% to town to administer TIF, and 50% to General Fund OAV of 122,000 all Real Estate</t>
  </si>
  <si>
    <t>They capture 100% which is all PP, but then they automatically put 900,000 into the general fund and split the rest 50/50 between GNP &amp; town TIF fund(they also include OAV in their TIF calculation)</t>
  </si>
  <si>
    <t>They capture 100% of RE and PP with 50% going back to Dingley in CEA, OAV that was used until the 2015 commitment is incorrect-RE OAV is 3,097,090 &amp; PP OAV is 10,828,320 for total of 13,925,410-S/B just 6,269,680 not sure how much is PP or RE</t>
  </si>
  <si>
    <t>50% capture for RE and PP with 80% of RE and PP back to TI for April 1, 2012-sliding scale annually based on investment</t>
  </si>
  <si>
    <t>50% Capture with 100% of that 50% back to company in CEA-other 50% goes to general fund</t>
  </si>
  <si>
    <t>They capture 75% of RE and PP, with 34.65% back to LL Bean in CEA</t>
  </si>
  <si>
    <t>100% capture, 70% CEA for RE &amp; PP(May change annually),30% municipal retention, 100% municipal retention on all BETE property, OAV of $157,786 all R/E</t>
  </si>
  <si>
    <t>75% Capture of RE and PP, then 1% to town for admin fees and other 99% of that 75% capture to robbins in CEA</t>
  </si>
  <si>
    <t>100% Capture of R/E and PP with a 65% CEA on R/E and PP, 35% to towns economic development fund, OAV was zero due to the fact it is on leased land</t>
  </si>
  <si>
    <t>40% Capture of PP, with 100% of the 40% capture returned to MSM in the form of CEA-will be the same for 2013</t>
  </si>
  <si>
    <t>72% capture of PP(TIF is only machines with land under them), with 100% of that 75% captured back to Huhtamaki in CEA-For 2012 used incorrect mil rate of 0.02570 in calculating TIF</t>
  </si>
  <si>
    <t>They capture 100% of RE and PP. 100% of RE is CEA, and 50% of PP is. Other provisions-see last year spreadsheet for details</t>
  </si>
  <si>
    <t>They capture 100% of RE and PP and have a 75% CEA with Verso for RE and PP, remaining 25% goes to economic development fund,OAV cannot be broken out by RE and PP</t>
  </si>
  <si>
    <t>They capture 100% of RE and PP with varying amounts back to company in CEA, for 2012 it was 50%, for 2013 it will be 50% and then 25% for 2014 to 2019. OAV is $1,087,170 all real estate</t>
  </si>
  <si>
    <t>100% municipal retention on BETE, 100% CEA on the small increment of taxable, OAV of RE is $86,500,000 and PP is $509,475,000 which does not agree with document but what he uses</t>
  </si>
  <si>
    <t>They capture 100% of RE and PP with 69.8 going back in CEA. OAV of real estate is $314,772 and OAV of PP is $617,005</t>
  </si>
  <si>
    <t>90% Capture on RE and PP with CEA fluctuating from year to year-26% for 2012, OAV for RE is 11,187,400 and PP is 34,268,700(they did not use the expansion in calculating CEA for 2012</t>
  </si>
  <si>
    <t>They capture 40% of RE and PP with 100% of that 40% going back to Formed Fiber Technologies in CEA, remaining to city general fund</t>
  </si>
  <si>
    <t>They capture 76%(changes annually) of RE and PP and there is 100% CEA on that 76% back to PRL, 24% remaining to general fund, OAV of real estate is $439,772, PP is $1,286,212</t>
  </si>
  <si>
    <t>REPORT FOR APRIL 1, 2012 TAX YEAR</t>
  </si>
  <si>
    <t>Did not file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</si>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</sst>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409]#,##0"/>
    <numFmt numFmtId="165" formatCode="0.00000"/>
    <numFmt numFmtId="166" formatCode="[$$-409]#,##0.00"/>
    <numFmt numFmtId="167" formatCode="&quot;$&quot;#,##0"/>
  </numFmts>
  <fonts count="22" x14ac:knownFonts="1">
    <font>
      <sz val="10"/>
      <name val="Arial"/>
    </font>
    <font>
      <sz val="10"/>
      <color indexed="8"/>
      <name val="Helv"/>
    </font>
    <font>
      <b/>
      <sz val="18"/>
      <color indexed="8"/>
      <name val="Helv"/>
    </font>
    <font>
      <sz val="12"/>
      <color indexed="8"/>
      <name val="Helv"/>
    </font>
    <font>
      <sz val="8"/>
      <name val="Arial"/>
      <family val="2"/>
    </font>
    <font>
      <sz val="10"/>
      <color indexed="8"/>
      <name val="Arial"/>
      <family val="2"/>
    </font>
    <font>
      <b/>
      <sz val="28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7"/>
      <color indexed="8"/>
      <name val="Arial"/>
      <family val="2"/>
    </font>
    <font>
      <b/>
      <sz val="14"/>
      <color indexed="8"/>
      <name val="Helv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8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12" fillId="0" borderId="1" xfId="0" applyNumberFormat="1" applyFont="1" applyFill="1" applyBorder="1" applyAlignment="1"/>
    <xf numFmtId="0" fontId="0" fillId="0" borderId="0" xfId="0" applyFill="1"/>
    <xf numFmtId="167" fontId="16" fillId="0" borderId="1" xfId="0" applyNumberFormat="1" applyFont="1" applyFill="1" applyBorder="1"/>
    <xf numFmtId="164" fontId="13" fillId="0" borderId="1" xfId="0" applyNumberFormat="1" applyFont="1" applyFill="1" applyBorder="1" applyAlignment="1"/>
    <xf numFmtId="0" fontId="17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0" fillId="0" borderId="1" xfId="0" applyFill="1" applyBorder="1"/>
    <xf numFmtId="164" fontId="12" fillId="0" borderId="0" xfId="0" applyNumberFormat="1" applyFont="1" applyFill="1" applyBorder="1" applyAlignment="1"/>
    <xf numFmtId="0" fontId="5" fillId="0" borderId="0" xfId="0" applyNumberFormat="1" applyFont="1" applyFill="1" applyAlignment="1"/>
    <xf numFmtId="0" fontId="1" fillId="0" borderId="0" xfId="0" applyNumberFormat="1" applyFont="1" applyFill="1" applyAlignment="1"/>
    <xf numFmtId="164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19" fillId="0" borderId="0" xfId="0" applyFont="1" applyFill="1" applyBorder="1"/>
    <xf numFmtId="17" fontId="7" fillId="0" borderId="0" xfId="0" quotePrefix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4" fillId="0" borderId="3" xfId="0" applyNumberFormat="1" applyFont="1" applyFill="1" applyBorder="1" applyAlignment="1">
      <alignment horizontal="center" wrapText="1"/>
    </xf>
    <xf numFmtId="0" fontId="14" fillId="0" borderId="4" xfId="0" applyNumberFormat="1" applyFont="1" applyFill="1" applyBorder="1" applyAlignment="1">
      <alignment horizontal="center" wrapText="1"/>
    </xf>
    <xf numFmtId="15" fontId="0" fillId="0" borderId="0" xfId="0" applyNumberFormat="1" applyFill="1"/>
    <xf numFmtId="0" fontId="18" fillId="0" borderId="0" xfId="0" applyFont="1" applyFill="1" applyBorder="1"/>
    <xf numFmtId="0" fontId="14" fillId="0" borderId="5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15" fillId="0" borderId="6" xfId="0" quotePrefix="1" applyNumberFormat="1" applyFont="1" applyFill="1" applyBorder="1" applyAlignment="1">
      <alignment horizontal="center"/>
    </xf>
    <xf numFmtId="0" fontId="15" fillId="0" borderId="7" xfId="0" quotePrefix="1" applyNumberFormat="1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167" fontId="13" fillId="0" borderId="1" xfId="0" applyNumberFormat="1" applyFont="1" applyFill="1" applyBorder="1"/>
    <xf numFmtId="0" fontId="16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0" fillId="0" borderId="9" xfId="0" applyFill="1" applyBorder="1"/>
    <xf numFmtId="166" fontId="5" fillId="0" borderId="0" xfId="0" applyNumberFormat="1" applyFont="1" applyFill="1" applyAlignment="1"/>
    <xf numFmtId="164" fontId="12" fillId="2" borderId="1" xfId="0" applyNumberFormat="1" applyFont="1" applyFill="1" applyBorder="1" applyAlignment="1"/>
    <xf numFmtId="165" fontId="1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2" fillId="2" borderId="1" xfId="0" applyNumberFormat="1" applyFont="1" applyFill="1" applyBorder="1" applyAlignment="1"/>
    <xf numFmtId="0" fontId="13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/>
    <xf numFmtId="167" fontId="16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center"/>
    </xf>
    <xf numFmtId="0" fontId="17" fillId="2" borderId="0" xfId="0" applyFont="1" applyFill="1"/>
    <xf numFmtId="164" fontId="12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0" xfId="0" applyFill="1" applyBorder="1"/>
    <xf numFmtId="0" fontId="0" fillId="2" borderId="0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7" fontId="13" fillId="2" borderId="1" xfId="0" applyNumberFormat="1" applyFont="1" applyFill="1" applyBorder="1"/>
    <xf numFmtId="164" fontId="3" fillId="2" borderId="0" xfId="0" applyNumberFormat="1" applyFont="1" applyFill="1" applyAlignment="1"/>
    <xf numFmtId="0" fontId="13" fillId="2" borderId="0" xfId="0" applyFont="1" applyFill="1"/>
    <xf numFmtId="0" fontId="16" fillId="2" borderId="1" xfId="0" applyFont="1" applyFill="1" applyBorder="1"/>
    <xf numFmtId="0" fontId="20" fillId="0" borderId="0" xfId="0" applyFont="1" applyFill="1" applyAlignment="1">
      <alignment horizontal="right"/>
    </xf>
    <xf numFmtId="4" fontId="21" fillId="0" borderId="0" xfId="0" applyNumberFormat="1" applyFont="1" applyFill="1"/>
    <xf numFmtId="0" fontId="10" fillId="0" borderId="3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10" fillId="0" borderId="5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 wrapText="1"/>
    </xf>
    <xf numFmtId="0" fontId="9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0" fontId="0" fillId="0" borderId="1" xfId="0" applyFill="1" applyBorder="1" applyAlignment="1"/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0" fontId="9" fillId="0" borderId="20" xfId="0" applyNumberFormat="1" applyFont="1" applyFill="1" applyBorder="1" applyAlignment="1">
      <alignment horizontal="center" wrapText="1"/>
    </xf>
    <xf numFmtId="0" fontId="9" fillId="0" borderId="21" xfId="0" applyNumberFormat="1" applyFont="1" applyFill="1" applyBorder="1" applyAlignment="1">
      <alignment horizontal="center" wrapText="1"/>
    </xf>
    <xf numFmtId="0" fontId="9" fillId="0" borderId="22" xfId="0" applyNumberFormat="1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center" wrapText="1"/>
    </xf>
    <xf numFmtId="0" fontId="14" fillId="0" borderId="3" xfId="0" applyNumberFormat="1" applyFont="1" applyFill="1" applyBorder="1" applyAlignment="1">
      <alignment horizontal="center" wrapText="1"/>
    </xf>
    <xf numFmtId="0" fontId="14" fillId="0" borderId="4" xfId="0" applyNumberFormat="1" applyFont="1" applyFill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center" wrapText="1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P74"/>
  <sheetViews>
    <sheetView tabSelected="1" zoomScale="70" zoomScaleNormal="7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A42" sqref="A10:IV42"/>
    </sheetView>
  </sheetViews>
  <sheetFormatPr defaultRowHeight="12.75" x14ac:dyDescent="0.2"/>
  <cols>
    <col min="1" max="1" width="51.42578125" style="2" bestFit="1" customWidth="1"/>
    <col min="2" max="2" width="19.85546875" style="2" hidden="1" customWidth="1"/>
    <col min="3" max="4" width="13.42578125" style="2" hidden="1" customWidth="1"/>
    <col min="5" max="5" width="24.140625" style="2" customWidth="1"/>
    <col min="6" max="6" width="22" style="2" customWidth="1"/>
    <col min="7" max="7" width="18.85546875" style="2" customWidth="1"/>
    <col min="8" max="8" width="21.85546875" style="2" customWidth="1"/>
    <col min="9" max="9" width="18.5703125" style="2" customWidth="1"/>
    <col min="10" max="10" width="21.7109375" style="2" customWidth="1"/>
    <col min="11" max="11" width="19.28515625" style="2" hidden="1" customWidth="1"/>
    <col min="12" max="12" width="19.85546875" style="2" hidden="1" customWidth="1"/>
    <col min="13" max="13" width="13.7109375" style="2" hidden="1" customWidth="1"/>
    <col min="14" max="16" width="18.5703125" style="2" customWidth="1"/>
    <col min="17" max="17" width="33.42578125" style="2" customWidth="1"/>
    <col min="18" max="18" width="34.140625" style="2" bestFit="1" customWidth="1"/>
    <col min="19" max="19" width="196.42578125" style="2" customWidth="1"/>
    <col min="20" max="20" width="13.5703125" style="2" customWidth="1"/>
    <col min="21" max="21" width="5.5703125" style="2" customWidth="1"/>
    <col min="22" max="22" width="22" style="2" bestFit="1" customWidth="1"/>
    <col min="23" max="23" width="21.140625" style="2" customWidth="1"/>
    <col min="24" max="24" width="21.5703125" style="2" customWidth="1"/>
    <col min="25" max="25" width="19.42578125" style="2" customWidth="1"/>
    <col min="26" max="26" width="9.140625" style="2" customWidth="1"/>
    <col min="27" max="27" width="19.42578125" style="2" customWidth="1"/>
    <col min="28" max="34" width="9.140625" style="2" customWidth="1"/>
    <col min="35" max="35" width="10.7109375" style="2" bestFit="1" customWidth="1"/>
    <col min="36" max="54" width="9.140625" style="2" customWidth="1"/>
    <col min="55" max="16384" width="9.140625" style="2"/>
  </cols>
  <sheetData>
    <row r="1" spans="1:67" ht="50.25" customHeight="1" x14ac:dyDescent="0.5">
      <c r="A1" s="10"/>
      <c r="B1" s="10"/>
      <c r="C1" s="10"/>
      <c r="D1" s="10"/>
      <c r="E1" s="36"/>
      <c r="F1" s="76" t="s">
        <v>0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10"/>
      <c r="R1" s="10"/>
    </row>
    <row r="2" spans="1:67" ht="50.25" customHeight="1" thickBot="1" x14ac:dyDescent="0.55000000000000004">
      <c r="A2" s="15"/>
      <c r="B2" s="15"/>
      <c r="C2" s="15"/>
      <c r="D2" s="15"/>
      <c r="E2" s="36"/>
      <c r="F2" s="76" t="s">
        <v>130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36"/>
      <c r="R2" s="10"/>
      <c r="T2" s="5"/>
    </row>
    <row r="3" spans="1:67" ht="16.5" customHeight="1" thickBot="1" x14ac:dyDescent="0.4">
      <c r="A3" s="11"/>
      <c r="B3" s="11"/>
      <c r="C3" s="11"/>
      <c r="D3" s="11"/>
      <c r="E3" s="16"/>
      <c r="F3" s="11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W3" s="64" t="s">
        <v>97</v>
      </c>
      <c r="X3" s="65"/>
      <c r="Y3" s="66"/>
    </row>
    <row r="4" spans="1:67" ht="66" customHeight="1" x14ac:dyDescent="0.35">
      <c r="A4" s="77" t="s">
        <v>1</v>
      </c>
      <c r="B4" s="18"/>
      <c r="C4" s="18"/>
      <c r="D4" s="18"/>
      <c r="E4" s="80" t="s">
        <v>77</v>
      </c>
      <c r="F4" s="80" t="s">
        <v>2</v>
      </c>
      <c r="G4" s="80" t="s">
        <v>95</v>
      </c>
      <c r="H4" s="73">
        <v>2012</v>
      </c>
      <c r="I4" s="74"/>
      <c r="J4" s="75"/>
      <c r="K4" s="73" t="s">
        <v>59</v>
      </c>
      <c r="L4" s="74"/>
      <c r="M4" s="75"/>
      <c r="N4" s="73">
        <v>2012</v>
      </c>
      <c r="O4" s="74"/>
      <c r="P4" s="75"/>
      <c r="Q4" s="58" t="s">
        <v>96</v>
      </c>
      <c r="R4" s="58" t="s">
        <v>3</v>
      </c>
      <c r="W4" s="67"/>
      <c r="X4" s="68"/>
      <c r="Y4" s="69"/>
    </row>
    <row r="5" spans="1:67" ht="54" customHeight="1" thickBot="1" x14ac:dyDescent="0.4">
      <c r="A5" s="78"/>
      <c r="B5" s="19"/>
      <c r="C5" s="19"/>
      <c r="D5" s="19"/>
      <c r="E5" s="81"/>
      <c r="F5" s="81"/>
      <c r="G5" s="81"/>
      <c r="H5" s="61" t="s">
        <v>4</v>
      </c>
      <c r="I5" s="62"/>
      <c r="J5" s="63"/>
      <c r="K5" s="61" t="s">
        <v>4</v>
      </c>
      <c r="L5" s="62"/>
      <c r="M5" s="63"/>
      <c r="N5" s="61" t="s">
        <v>76</v>
      </c>
      <c r="O5" s="62"/>
      <c r="P5" s="63"/>
      <c r="Q5" s="59"/>
      <c r="R5" s="59"/>
      <c r="S5" s="20"/>
      <c r="V5" s="21"/>
      <c r="W5" s="70"/>
      <c r="X5" s="71"/>
      <c r="Y5" s="72"/>
    </row>
    <row r="6" spans="1:67" ht="72.75" customHeight="1" thickBot="1" x14ac:dyDescent="0.4">
      <c r="A6" s="79"/>
      <c r="B6" s="22" t="s">
        <v>63</v>
      </c>
      <c r="C6" s="22" t="s">
        <v>61</v>
      </c>
      <c r="D6" s="22" t="s">
        <v>67</v>
      </c>
      <c r="E6" s="82"/>
      <c r="F6" s="82"/>
      <c r="G6" s="82"/>
      <c r="H6" s="23" t="s">
        <v>5</v>
      </c>
      <c r="I6" s="24" t="s">
        <v>6</v>
      </c>
      <c r="J6" s="25" t="s">
        <v>7</v>
      </c>
      <c r="K6" s="23" t="s">
        <v>5</v>
      </c>
      <c r="L6" s="24" t="s">
        <v>6</v>
      </c>
      <c r="M6" s="25" t="s">
        <v>7</v>
      </c>
      <c r="N6" s="23" t="s">
        <v>5</v>
      </c>
      <c r="O6" s="24" t="s">
        <v>6</v>
      </c>
      <c r="P6" s="25" t="s">
        <v>7</v>
      </c>
      <c r="Q6" s="60"/>
      <c r="R6" s="60"/>
      <c r="W6" s="26" t="s">
        <v>98</v>
      </c>
      <c r="X6" s="27" t="s">
        <v>99</v>
      </c>
      <c r="Y6" s="28" t="s">
        <v>7</v>
      </c>
    </row>
    <row r="7" spans="1:67" ht="18" customHeight="1" x14ac:dyDescent="0.25">
      <c r="A7" s="13"/>
      <c r="B7" s="13"/>
      <c r="C7" s="13"/>
      <c r="D7" s="13"/>
      <c r="E7" s="1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67" ht="4.3499999999999996" customHeight="1" x14ac:dyDescent="0.2">
      <c r="A8" s="13"/>
      <c r="B8" s="13"/>
      <c r="C8" s="13"/>
      <c r="D8" s="13"/>
      <c r="E8" s="13"/>
      <c r="F8" s="13"/>
      <c r="G8" s="29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67" x14ac:dyDescent="0.2">
      <c r="H9" s="30"/>
    </row>
    <row r="10" spans="1:67" s="8" customFormat="1" ht="16.899999999999999" customHeight="1" x14ac:dyDescent="0.2">
      <c r="A10" s="40" t="s">
        <v>45</v>
      </c>
      <c r="B10" s="44" t="s">
        <v>62</v>
      </c>
      <c r="C10" s="44" t="s">
        <v>62</v>
      </c>
      <c r="D10" s="44" t="s">
        <v>62</v>
      </c>
      <c r="E10" s="37">
        <f>18120000+4888900+23873200</f>
        <v>46882100</v>
      </c>
      <c r="F10" s="41" t="s">
        <v>16</v>
      </c>
      <c r="G10" s="38">
        <v>1.6910000000000001E-2</v>
      </c>
      <c r="H10" s="37">
        <f>18120000+4888900</f>
        <v>23008900</v>
      </c>
      <c r="I10" s="37">
        <f>23873200-157786</f>
        <v>23715414</v>
      </c>
      <c r="J10" s="37">
        <f t="shared" ref="J10:J42" si="0">H10+I10</f>
        <v>46724314</v>
      </c>
      <c r="K10" s="37">
        <f t="shared" ref="K10:K32" si="1">H10*G10</f>
        <v>389080.49900000001</v>
      </c>
      <c r="L10" s="37">
        <f t="shared" ref="L10:L32" si="2">I10*G10</f>
        <v>401027.65074000001</v>
      </c>
      <c r="M10" s="37">
        <f t="shared" ref="M10:M41" si="3">J10*G10</f>
        <v>790108.14974000002</v>
      </c>
      <c r="N10" s="37">
        <f>4888900*G10*0.7</f>
        <v>57869.909300000007</v>
      </c>
      <c r="O10" s="37">
        <f>I10*G10*0.7</f>
        <v>280719.35551799997</v>
      </c>
      <c r="P10" s="37">
        <f>N10+O10</f>
        <v>338589.26481799997</v>
      </c>
      <c r="Q10" s="37">
        <f>34254+30448</f>
        <v>64702</v>
      </c>
      <c r="R10" s="37">
        <f t="shared" ref="R10:R42" si="4">IF(Y10&lt;AA10, Y10, AA10)</f>
        <v>57552</v>
      </c>
      <c r="S10" s="39" t="s">
        <v>117</v>
      </c>
      <c r="T10" s="2"/>
      <c r="U10" s="2"/>
      <c r="V10" s="2"/>
      <c r="W10" s="4">
        <v>28162</v>
      </c>
      <c r="X10" s="3">
        <v>29390</v>
      </c>
      <c r="Y10" s="1">
        <f t="shared" ref="Y10:Y15" si="5">W10+X10</f>
        <v>57552</v>
      </c>
      <c r="Z10" s="6"/>
      <c r="AA10" s="1">
        <f t="shared" ref="AA10:AA44" si="6">IF(Q10&lt;N10,Q10,N10)</f>
        <v>57869.909300000007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7"/>
    </row>
    <row r="11" spans="1:67" s="8" customFormat="1" ht="15" x14ac:dyDescent="0.2">
      <c r="A11" s="40" t="s">
        <v>43</v>
      </c>
      <c r="B11" s="44" t="s">
        <v>62</v>
      </c>
      <c r="C11" s="44" t="s">
        <v>62</v>
      </c>
      <c r="D11" s="44" t="s">
        <v>62</v>
      </c>
      <c r="E11" s="37">
        <v>470509000</v>
      </c>
      <c r="F11" s="41" t="s">
        <v>9</v>
      </c>
      <c r="G11" s="38">
        <v>1.8700000000000001E-2</v>
      </c>
      <c r="H11" s="37">
        <v>109235820</v>
      </c>
      <c r="I11" s="37">
        <v>177490600</v>
      </c>
      <c r="J11" s="37">
        <f t="shared" si="0"/>
        <v>286726420</v>
      </c>
      <c r="K11" s="37">
        <f t="shared" si="1"/>
        <v>2042709.834</v>
      </c>
      <c r="L11" s="37">
        <f t="shared" si="2"/>
        <v>3319074.22</v>
      </c>
      <c r="M11" s="37">
        <f t="shared" si="3"/>
        <v>5361784.0540000005</v>
      </c>
      <c r="N11" s="37">
        <v>893058.71</v>
      </c>
      <c r="O11" s="37">
        <v>3175727.87</v>
      </c>
      <c r="P11" s="37">
        <f>O11+N11</f>
        <v>4068786.58</v>
      </c>
      <c r="Q11" s="37">
        <v>2277862.9</v>
      </c>
      <c r="R11" s="37">
        <f t="shared" si="4"/>
        <v>893058.71</v>
      </c>
      <c r="S11" s="45" t="s">
        <v>122</v>
      </c>
      <c r="T11" s="2"/>
      <c r="U11" s="2"/>
      <c r="V11" s="2"/>
      <c r="W11" s="4">
        <v>3104011</v>
      </c>
      <c r="X11" s="3">
        <v>0</v>
      </c>
      <c r="Y11" s="1">
        <f t="shared" si="5"/>
        <v>3104011</v>
      </c>
      <c r="Z11" s="6"/>
      <c r="AA11" s="1">
        <f t="shared" si="6"/>
        <v>893058.71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7"/>
    </row>
    <row r="12" spans="1:67" s="8" customFormat="1" ht="16.899999999999999" customHeight="1" x14ac:dyDescent="0.2">
      <c r="A12" s="40" t="s">
        <v>29</v>
      </c>
      <c r="B12" s="44" t="s">
        <v>62</v>
      </c>
      <c r="C12" s="44" t="s">
        <v>62</v>
      </c>
      <c r="D12" s="44" t="s">
        <v>62</v>
      </c>
      <c r="E12" s="37">
        <f>2779200+3299400+4650100</f>
        <v>10728700</v>
      </c>
      <c r="F12" s="41" t="s">
        <v>8</v>
      </c>
      <c r="G12" s="38">
        <v>1.7399999999999999E-2</v>
      </c>
      <c r="H12" s="37">
        <f>4650100-1539000</f>
        <v>3111100</v>
      </c>
      <c r="I12" s="37">
        <f>3299400-1500000</f>
        <v>1799400</v>
      </c>
      <c r="J12" s="37">
        <f t="shared" si="0"/>
        <v>4910500</v>
      </c>
      <c r="K12" s="37">
        <f t="shared" si="1"/>
        <v>54133.14</v>
      </c>
      <c r="L12" s="37">
        <f t="shared" si="2"/>
        <v>31309.559999999998</v>
      </c>
      <c r="M12" s="37">
        <f t="shared" si="3"/>
        <v>85442.7</v>
      </c>
      <c r="N12" s="37">
        <f>H12*G12*0.5</f>
        <v>27066.57</v>
      </c>
      <c r="O12" s="37">
        <f>I12*G12*0.5</f>
        <v>15654.779999999999</v>
      </c>
      <c r="P12" s="37">
        <f>N12+O12</f>
        <v>42721.35</v>
      </c>
      <c r="Q12" s="37">
        <v>38920.800000000003</v>
      </c>
      <c r="R12" s="37">
        <f t="shared" si="4"/>
        <v>27066.57</v>
      </c>
      <c r="S12" s="39" t="s">
        <v>83</v>
      </c>
      <c r="T12" s="2"/>
      <c r="U12" s="2"/>
      <c r="V12" s="2"/>
      <c r="W12" s="4">
        <v>70620</v>
      </c>
      <c r="X12" s="3">
        <v>46314</v>
      </c>
      <c r="Y12" s="1">
        <f t="shared" si="5"/>
        <v>116934</v>
      </c>
      <c r="Z12" s="6"/>
      <c r="AA12" s="1">
        <f t="shared" si="6"/>
        <v>27066.57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7"/>
    </row>
    <row r="13" spans="1:67" s="8" customFormat="1" ht="16.899999999999999" customHeight="1" x14ac:dyDescent="0.2">
      <c r="A13" s="40" t="s">
        <v>52</v>
      </c>
      <c r="B13" s="44" t="s">
        <v>62</v>
      </c>
      <c r="C13" s="44" t="s">
        <v>62</v>
      </c>
      <c r="D13" s="44" t="s">
        <v>62</v>
      </c>
      <c r="E13" s="37">
        <f>2723700+5429800+1675300+2559000</f>
        <v>12387800</v>
      </c>
      <c r="F13" s="41" t="s">
        <v>53</v>
      </c>
      <c r="G13" s="38">
        <v>2.12E-2</v>
      </c>
      <c r="H13" s="37">
        <f>1675300/2</f>
        <v>837650</v>
      </c>
      <c r="I13" s="37">
        <f>7924400/2</f>
        <v>3962200</v>
      </c>
      <c r="J13" s="37">
        <f t="shared" si="0"/>
        <v>4799850</v>
      </c>
      <c r="K13" s="37">
        <f t="shared" si="1"/>
        <v>17758.18</v>
      </c>
      <c r="L13" s="37">
        <f t="shared" si="2"/>
        <v>83998.64</v>
      </c>
      <c r="M13" s="37">
        <f t="shared" si="3"/>
        <v>101756.82</v>
      </c>
      <c r="N13" s="37">
        <f>H13*G13</f>
        <v>17758.18</v>
      </c>
      <c r="O13" s="37">
        <f>I13*G13</f>
        <v>83998.64</v>
      </c>
      <c r="P13" s="37">
        <f>N13+O13</f>
        <v>101756.82</v>
      </c>
      <c r="Q13" s="37">
        <v>19503</v>
      </c>
      <c r="R13" s="37">
        <f t="shared" si="4"/>
        <v>17758.18</v>
      </c>
      <c r="S13" s="39" t="s">
        <v>81</v>
      </c>
      <c r="T13" s="2"/>
      <c r="U13" s="2"/>
      <c r="V13" s="2"/>
      <c r="W13" s="4">
        <v>19503</v>
      </c>
      <c r="X13" s="3">
        <v>14661</v>
      </c>
      <c r="Y13" s="1">
        <f t="shared" si="5"/>
        <v>34164</v>
      </c>
      <c r="Z13" s="6"/>
      <c r="AA13" s="1">
        <f t="shared" si="6"/>
        <v>17758.18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7"/>
    </row>
    <row r="14" spans="1:67" s="8" customFormat="1" ht="16.899999999999999" customHeight="1" x14ac:dyDescent="0.2">
      <c r="A14" s="40" t="s">
        <v>48</v>
      </c>
      <c r="B14" s="44" t="s">
        <v>62</v>
      </c>
      <c r="C14" s="44" t="s">
        <v>62</v>
      </c>
      <c r="D14" s="44" t="s">
        <v>62</v>
      </c>
      <c r="E14" s="37">
        <f>7161600+15876900+6612000</f>
        <v>29650500</v>
      </c>
      <c r="F14" s="41" t="s">
        <v>49</v>
      </c>
      <c r="G14" s="38">
        <v>2.2259999999999999E-2</v>
      </c>
      <c r="H14" s="37">
        <f>15876900-10828320</f>
        <v>5048580</v>
      </c>
      <c r="I14" s="37">
        <f>7161600-3097090</f>
        <v>4064510</v>
      </c>
      <c r="J14" s="37">
        <f t="shared" si="0"/>
        <v>9113090</v>
      </c>
      <c r="K14" s="37">
        <f t="shared" si="1"/>
        <v>112381.39079999999</v>
      </c>
      <c r="L14" s="37">
        <f t="shared" si="2"/>
        <v>90475.992599999998</v>
      </c>
      <c r="M14" s="37">
        <f t="shared" si="3"/>
        <v>202857.38339999999</v>
      </c>
      <c r="N14" s="37">
        <f>H14*G14*0.5</f>
        <v>56190.695399999997</v>
      </c>
      <c r="O14" s="37">
        <f>I14*G14*0.5</f>
        <v>45237.996299999999</v>
      </c>
      <c r="P14" s="37">
        <f>N14+O14</f>
        <v>101428.6917</v>
      </c>
      <c r="Q14" s="37">
        <v>231985.4</v>
      </c>
      <c r="R14" s="37">
        <f t="shared" si="4"/>
        <v>56190.695399999997</v>
      </c>
      <c r="S14" s="39" t="s">
        <v>113</v>
      </c>
      <c r="T14" s="39"/>
      <c r="U14" s="2"/>
      <c r="V14" s="2"/>
      <c r="W14" s="4">
        <v>32213</v>
      </c>
      <c r="X14" s="3">
        <v>32213</v>
      </c>
      <c r="Y14" s="1">
        <f t="shared" si="5"/>
        <v>64426</v>
      </c>
      <c r="Z14" s="6"/>
      <c r="AA14" s="1">
        <f t="shared" si="6"/>
        <v>56190.695399999997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7"/>
    </row>
    <row r="15" spans="1:67" s="8" customFormat="1" ht="16.899999999999999" customHeight="1" x14ac:dyDescent="0.2">
      <c r="A15" s="40" t="s">
        <v>37</v>
      </c>
      <c r="B15" s="44" t="s">
        <v>62</v>
      </c>
      <c r="C15" s="44" t="s">
        <v>62</v>
      </c>
      <c r="D15" s="44" t="s">
        <v>62</v>
      </c>
      <c r="E15" s="37">
        <f>55921800+29209000+16938000</f>
        <v>102068800</v>
      </c>
      <c r="F15" s="41" t="s">
        <v>11</v>
      </c>
      <c r="G15" s="38">
        <v>1.6500000000000001E-2</v>
      </c>
      <c r="H15" s="37">
        <f>29209000-22645500</f>
        <v>6563500</v>
      </c>
      <c r="I15" s="37">
        <f>16938000-10867000</f>
        <v>6071000</v>
      </c>
      <c r="J15" s="37">
        <f t="shared" si="0"/>
        <v>12634500</v>
      </c>
      <c r="K15" s="37">
        <f t="shared" si="1"/>
        <v>108297.75</v>
      </c>
      <c r="L15" s="37">
        <f t="shared" si="2"/>
        <v>100171.5</v>
      </c>
      <c r="M15" s="37">
        <f t="shared" si="3"/>
        <v>208469.25</v>
      </c>
      <c r="N15" s="37">
        <f>H15*G15*0.5</f>
        <v>54148.875</v>
      </c>
      <c r="O15" s="37">
        <f>I15*G15*0.5</f>
        <v>50085.75</v>
      </c>
      <c r="P15" s="37">
        <f>O15+N15</f>
        <v>104234.625</v>
      </c>
      <c r="Q15" s="37">
        <f>173137.6+153899.2</f>
        <v>327036.80000000005</v>
      </c>
      <c r="R15" s="37">
        <f t="shared" si="4"/>
        <v>54148.875</v>
      </c>
      <c r="S15" s="45" t="s">
        <v>83</v>
      </c>
      <c r="T15" s="2"/>
      <c r="U15" s="2"/>
      <c r="V15" s="2"/>
      <c r="W15" s="4">
        <v>32988</v>
      </c>
      <c r="X15" s="3">
        <v>32988</v>
      </c>
      <c r="Y15" s="1">
        <f t="shared" si="5"/>
        <v>65976</v>
      </c>
      <c r="Z15" s="6"/>
      <c r="AA15" s="1">
        <f t="shared" si="6"/>
        <v>54148.875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7"/>
    </row>
    <row r="16" spans="1:67" s="8" customFormat="1" ht="15" x14ac:dyDescent="0.2">
      <c r="A16" s="50" t="s">
        <v>68</v>
      </c>
      <c r="B16" s="50"/>
      <c r="C16" s="44" t="s">
        <v>62</v>
      </c>
      <c r="D16" s="40"/>
      <c r="E16" s="37">
        <f>63972000+26639200</f>
        <v>90611200</v>
      </c>
      <c r="F16" s="51" t="s">
        <v>72</v>
      </c>
      <c r="G16" s="38">
        <v>1.9650000000000001E-2</v>
      </c>
      <c r="H16" s="52">
        <f>19728600*0.5</f>
        <v>9864300</v>
      </c>
      <c r="I16" s="52">
        <v>30263100</v>
      </c>
      <c r="J16" s="37">
        <f t="shared" si="0"/>
        <v>40127400</v>
      </c>
      <c r="K16" s="37">
        <f t="shared" si="1"/>
        <v>193833.495</v>
      </c>
      <c r="L16" s="37">
        <f t="shared" si="2"/>
        <v>594669.91500000004</v>
      </c>
      <c r="M16" s="37">
        <f t="shared" si="3"/>
        <v>788503.41</v>
      </c>
      <c r="N16" s="37">
        <f>H16*G16</f>
        <v>193833.495</v>
      </c>
      <c r="O16" s="37">
        <f>I16*G16</f>
        <v>594669.91500000004</v>
      </c>
      <c r="P16" s="37">
        <f>N16+O16</f>
        <v>788503.41</v>
      </c>
      <c r="Q16" s="37">
        <v>211721</v>
      </c>
      <c r="R16" s="37">
        <f t="shared" si="4"/>
        <v>193833.495</v>
      </c>
      <c r="S16" s="39" t="s">
        <v>107</v>
      </c>
      <c r="T16" s="2"/>
      <c r="U16" s="2"/>
      <c r="V16" s="2"/>
      <c r="W16" s="4" t="s">
        <v>131</v>
      </c>
      <c r="X16" s="4" t="s">
        <v>131</v>
      </c>
      <c r="Y16" s="4" t="s">
        <v>131</v>
      </c>
      <c r="Z16" s="33"/>
      <c r="AA16" s="1">
        <f t="shared" si="6"/>
        <v>193833.495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7"/>
    </row>
    <row r="17" spans="1:67" s="8" customFormat="1" ht="16.899999999999999" customHeight="1" x14ac:dyDescent="0.2">
      <c r="A17" s="40" t="s">
        <v>60</v>
      </c>
      <c r="B17" s="44" t="s">
        <v>62</v>
      </c>
      <c r="C17" s="44" t="s">
        <v>62</v>
      </c>
      <c r="D17" s="44" t="s">
        <v>62</v>
      </c>
      <c r="E17" s="37">
        <f>5085100+73134300</f>
        <v>78219400</v>
      </c>
      <c r="F17" s="41" t="s">
        <v>15</v>
      </c>
      <c r="G17" s="38">
        <v>2.64E-2</v>
      </c>
      <c r="H17" s="37">
        <f>1164992.16/0.0264</f>
        <v>44128490.909090906</v>
      </c>
      <c r="I17" s="37">
        <v>0</v>
      </c>
      <c r="J17" s="37">
        <f t="shared" si="0"/>
        <v>44128490.909090906</v>
      </c>
      <c r="K17" s="37">
        <f t="shared" si="1"/>
        <v>1164992.1599999999</v>
      </c>
      <c r="L17" s="37">
        <f t="shared" si="2"/>
        <v>0</v>
      </c>
      <c r="M17" s="37">
        <f t="shared" si="3"/>
        <v>1164992.1599999999</v>
      </c>
      <c r="N17" s="37">
        <f>H17*0.5*G17</f>
        <v>582496.07999999996</v>
      </c>
      <c r="O17" s="37">
        <v>0</v>
      </c>
      <c r="P17" s="37">
        <f>N17+O17</f>
        <v>582496.07999999996</v>
      </c>
      <c r="Q17" s="37">
        <f>935145+831240</f>
        <v>1766385</v>
      </c>
      <c r="R17" s="37">
        <f t="shared" si="4"/>
        <v>582496.07999999996</v>
      </c>
      <c r="S17" s="39" t="s">
        <v>112</v>
      </c>
      <c r="T17" s="2"/>
      <c r="U17" s="2"/>
      <c r="V17" s="2"/>
      <c r="W17" s="4">
        <v>589571</v>
      </c>
      <c r="X17" s="3">
        <v>589571</v>
      </c>
      <c r="Y17" s="1">
        <f>W17+X17</f>
        <v>1179142</v>
      </c>
      <c r="Z17" s="6"/>
      <c r="AA17" s="1">
        <f t="shared" si="6"/>
        <v>582496.07999999996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7"/>
    </row>
    <row r="18" spans="1:67" s="8" customFormat="1" ht="16.899999999999999" customHeight="1" x14ac:dyDescent="0.2">
      <c r="A18" s="40" t="s">
        <v>74</v>
      </c>
      <c r="B18" s="44" t="s">
        <v>62</v>
      </c>
      <c r="C18" s="44" t="s">
        <v>62</v>
      </c>
      <c r="D18" s="44" t="s">
        <v>62</v>
      </c>
      <c r="E18" s="37">
        <f>2277685+2018300+9133300</f>
        <v>13429285</v>
      </c>
      <c r="F18" s="41" t="s">
        <v>12</v>
      </c>
      <c r="G18" s="38">
        <v>2.5649999999999999E-2</v>
      </c>
      <c r="H18" s="37">
        <f>37249/0.0257</f>
        <v>1449377.4319066147</v>
      </c>
      <c r="I18" s="37">
        <v>0</v>
      </c>
      <c r="J18" s="37">
        <f t="shared" si="0"/>
        <v>1449377.4319066147</v>
      </c>
      <c r="K18" s="37">
        <f t="shared" si="1"/>
        <v>37176.531128404662</v>
      </c>
      <c r="L18" s="37">
        <f t="shared" si="2"/>
        <v>0</v>
      </c>
      <c r="M18" s="37">
        <f t="shared" si="3"/>
        <v>37176.531128404662</v>
      </c>
      <c r="N18" s="37">
        <f>H18*0.0257</f>
        <v>37249</v>
      </c>
      <c r="O18" s="37">
        <v>0</v>
      </c>
      <c r="P18" s="37">
        <f>O18+N18</f>
        <v>37249</v>
      </c>
      <c r="Q18" s="37">
        <f>74081.7+65850.4</f>
        <v>139932.09999999998</v>
      </c>
      <c r="R18" s="37">
        <f t="shared" si="4"/>
        <v>37249</v>
      </c>
      <c r="S18" s="39" t="s">
        <v>121</v>
      </c>
      <c r="T18" s="2"/>
      <c r="U18" s="2"/>
      <c r="V18" s="2"/>
      <c r="W18" s="4">
        <v>146650</v>
      </c>
      <c r="X18" s="3">
        <v>137494</v>
      </c>
      <c r="Y18" s="1">
        <f>W18+X18</f>
        <v>284144</v>
      </c>
      <c r="Z18" s="6"/>
      <c r="AA18" s="1">
        <f t="shared" si="6"/>
        <v>37249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7"/>
    </row>
    <row r="19" spans="1:67" s="8" customFormat="1" ht="15" x14ac:dyDescent="0.2">
      <c r="A19" s="40" t="s">
        <v>54</v>
      </c>
      <c r="B19" s="44" t="s">
        <v>62</v>
      </c>
      <c r="C19" s="44" t="s">
        <v>62</v>
      </c>
      <c r="D19" s="44" t="s">
        <v>62</v>
      </c>
      <c r="E19" s="37">
        <f>467500+225200+2405100</f>
        <v>3097800</v>
      </c>
      <c r="F19" s="41" t="s">
        <v>8</v>
      </c>
      <c r="G19" s="38">
        <v>1.7399999999999999E-2</v>
      </c>
      <c r="H19" s="37">
        <v>225200</v>
      </c>
      <c r="I19" s="37">
        <f>2405100-200900</f>
        <v>2204200</v>
      </c>
      <c r="J19" s="37">
        <f t="shared" si="0"/>
        <v>2429400</v>
      </c>
      <c r="K19" s="37">
        <f t="shared" si="1"/>
        <v>3918.4799999999996</v>
      </c>
      <c r="L19" s="37">
        <f t="shared" si="2"/>
        <v>38353.079999999994</v>
      </c>
      <c r="M19" s="37">
        <f t="shared" si="3"/>
        <v>42271.56</v>
      </c>
      <c r="N19" s="37">
        <f>H19*G19*0.5</f>
        <v>1959.2399999999998</v>
      </c>
      <c r="O19" s="37">
        <f>I19*G19*0.5</f>
        <v>19176.539999999997</v>
      </c>
      <c r="P19" s="37">
        <f>N19+O19</f>
        <v>21135.78</v>
      </c>
      <c r="Q19" s="37">
        <f>963+856</f>
        <v>1819</v>
      </c>
      <c r="R19" s="37">
        <f t="shared" si="4"/>
        <v>1819</v>
      </c>
      <c r="S19" s="39" t="s">
        <v>83</v>
      </c>
      <c r="T19" s="2"/>
      <c r="U19" s="2"/>
      <c r="V19" s="2"/>
      <c r="W19" s="4">
        <v>1260</v>
      </c>
      <c r="X19" s="3">
        <v>1261</v>
      </c>
      <c r="Y19" s="1">
        <f>W19+X19</f>
        <v>2521</v>
      </c>
      <c r="Z19" s="6"/>
      <c r="AA19" s="1">
        <f t="shared" si="6"/>
        <v>1819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7"/>
    </row>
    <row r="20" spans="1:67" s="8" customFormat="1" ht="17.100000000000001" customHeight="1" x14ac:dyDescent="0.2">
      <c r="A20" s="40" t="s">
        <v>46</v>
      </c>
      <c r="B20" s="44" t="s">
        <v>62</v>
      </c>
      <c r="C20" s="44" t="s">
        <v>62</v>
      </c>
      <c r="D20" s="44" t="s">
        <v>62</v>
      </c>
      <c r="E20" s="37">
        <f>78800+29637110+5962105</f>
        <v>35678015</v>
      </c>
      <c r="F20" s="41" t="s">
        <v>47</v>
      </c>
      <c r="G20" s="38">
        <v>1.9859999999999999E-2</v>
      </c>
      <c r="H20" s="37">
        <f>1252042.05+29637110</f>
        <v>30889152.050000001</v>
      </c>
      <c r="I20" s="37">
        <v>0</v>
      </c>
      <c r="J20" s="37">
        <f t="shared" si="0"/>
        <v>30889152.050000001</v>
      </c>
      <c r="K20" s="37">
        <f t="shared" si="1"/>
        <v>613458.55971299997</v>
      </c>
      <c r="L20" s="37">
        <f t="shared" si="2"/>
        <v>0</v>
      </c>
      <c r="M20" s="37">
        <f t="shared" si="3"/>
        <v>613458.55971299997</v>
      </c>
      <c r="N20" s="37">
        <f>29637110*0.01986*0.65</f>
        <v>382585.45299000002</v>
      </c>
      <c r="O20" s="37">
        <v>0</v>
      </c>
      <c r="P20" s="37">
        <f>N20+O20</f>
        <v>382585.45299000002</v>
      </c>
      <c r="Q20" s="37">
        <f>291224.7+241524.8</f>
        <v>532749.5</v>
      </c>
      <c r="R20" s="37">
        <f t="shared" si="4"/>
        <v>382585.45299000002</v>
      </c>
      <c r="S20" s="39" t="s">
        <v>105</v>
      </c>
      <c r="T20" s="2"/>
      <c r="U20" s="2"/>
      <c r="V20" s="2"/>
      <c r="W20" s="4">
        <v>241524</v>
      </c>
      <c r="X20" s="3">
        <v>262569</v>
      </c>
      <c r="Y20" s="1">
        <f>W20+X20</f>
        <v>504093</v>
      </c>
      <c r="Z20" s="6"/>
      <c r="AA20" s="1">
        <f t="shared" si="6"/>
        <v>382585.45299000002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7"/>
    </row>
    <row r="21" spans="1:67" s="8" customFormat="1" ht="17.100000000000001" customHeight="1" x14ac:dyDescent="0.2">
      <c r="A21" s="40" t="s">
        <v>26</v>
      </c>
      <c r="B21" s="44" t="s">
        <v>62</v>
      </c>
      <c r="C21" s="44" t="s">
        <v>62</v>
      </c>
      <c r="D21" s="44" t="s">
        <v>62</v>
      </c>
      <c r="E21" s="37">
        <f>36490951+26295000+14242102</f>
        <v>77028053</v>
      </c>
      <c r="F21" s="41" t="s">
        <v>24</v>
      </c>
      <c r="G21" s="38">
        <v>1.545E-2</v>
      </c>
      <c r="H21" s="37">
        <f>14242102*0.75</f>
        <v>10681576.5</v>
      </c>
      <c r="I21" s="37">
        <f>22872600*0.75</f>
        <v>17154450</v>
      </c>
      <c r="J21" s="37">
        <f t="shared" si="0"/>
        <v>27836026.5</v>
      </c>
      <c r="K21" s="37">
        <f t="shared" si="1"/>
        <v>165030.356925</v>
      </c>
      <c r="L21" s="37">
        <f t="shared" si="2"/>
        <v>265036.2525</v>
      </c>
      <c r="M21" s="37">
        <f t="shared" si="3"/>
        <v>430066.60942500003</v>
      </c>
      <c r="N21" s="37">
        <f>H21*G21*0.3465</f>
        <v>57183.018674512496</v>
      </c>
      <c r="O21" s="37">
        <f>I21*G21*0.6535</f>
        <v>173201.19100875</v>
      </c>
      <c r="P21" s="37">
        <f>N21+O21</f>
        <v>230384.20968326251</v>
      </c>
      <c r="Q21" s="37">
        <f>548435</f>
        <v>548435</v>
      </c>
      <c r="R21" s="37">
        <f t="shared" si="4"/>
        <v>57183.018674512496</v>
      </c>
      <c r="S21" s="45" t="s">
        <v>116</v>
      </c>
      <c r="T21" s="2"/>
      <c r="U21" s="2"/>
      <c r="V21" s="2"/>
      <c r="W21" s="4">
        <v>86090</v>
      </c>
      <c r="X21" s="31">
        <v>0</v>
      </c>
      <c r="Y21" s="1">
        <f>W21+X21</f>
        <v>86090</v>
      </c>
      <c r="Z21" s="6"/>
      <c r="AA21" s="1">
        <f t="shared" si="6"/>
        <v>57183.018674512496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7"/>
    </row>
    <row r="22" spans="1:67" s="8" customFormat="1" ht="17.100000000000001" customHeight="1" x14ac:dyDescent="0.2">
      <c r="A22" s="40" t="s">
        <v>102</v>
      </c>
      <c r="B22" s="40"/>
      <c r="C22" s="44" t="s">
        <v>62</v>
      </c>
      <c r="D22" s="44" t="s">
        <v>73</v>
      </c>
      <c r="E22" s="46">
        <v>9853600</v>
      </c>
      <c r="F22" s="41" t="s">
        <v>50</v>
      </c>
      <c r="G22" s="38">
        <v>1.7749999999999998E-2</v>
      </c>
      <c r="H22" s="37">
        <v>5486400</v>
      </c>
      <c r="I22" s="37">
        <f>2851000-1087170</f>
        <v>1763830</v>
      </c>
      <c r="J22" s="37">
        <f t="shared" si="0"/>
        <v>7250230</v>
      </c>
      <c r="K22" s="37">
        <f t="shared" si="1"/>
        <v>97383.599999999991</v>
      </c>
      <c r="L22" s="37">
        <f t="shared" si="2"/>
        <v>31307.982499999998</v>
      </c>
      <c r="M22" s="37">
        <f t="shared" si="3"/>
        <v>128691.58249999999</v>
      </c>
      <c r="N22" s="37">
        <f>H22*G22*0.5</f>
        <v>48691.799999999996</v>
      </c>
      <c r="O22" s="37">
        <f>I22*G22*0.5</f>
        <v>15653.991249999999</v>
      </c>
      <c r="P22" s="37">
        <f>N22+O22</f>
        <v>64345.791249999995</v>
      </c>
      <c r="Q22" s="37">
        <f>58575.6</f>
        <v>58575.6</v>
      </c>
      <c r="R22" s="37">
        <f t="shared" si="4"/>
        <v>48691.799999999996</v>
      </c>
      <c r="S22" s="48" t="s">
        <v>124</v>
      </c>
      <c r="T22" s="2"/>
      <c r="U22" s="2"/>
      <c r="V22" s="2"/>
      <c r="W22" s="4" t="s">
        <v>131</v>
      </c>
      <c r="X22" s="4" t="s">
        <v>131</v>
      </c>
      <c r="Y22" s="4" t="s">
        <v>131</v>
      </c>
      <c r="Z22" s="6"/>
      <c r="AA22" s="1">
        <f t="shared" si="6"/>
        <v>48691.799999999996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7"/>
    </row>
    <row r="23" spans="1:67" s="8" customFormat="1" ht="15.75" x14ac:dyDescent="0.25">
      <c r="A23" s="50" t="s">
        <v>103</v>
      </c>
      <c r="B23" s="44" t="s">
        <v>62</v>
      </c>
      <c r="C23" s="44" t="s">
        <v>62</v>
      </c>
      <c r="D23" s="40"/>
      <c r="E23" s="43">
        <f>1219800+549200+215300</f>
        <v>1984300</v>
      </c>
      <c r="F23" s="51" t="s">
        <v>55</v>
      </c>
      <c r="G23" s="38">
        <v>1.9699999999999999E-2</v>
      </c>
      <c r="H23" s="52">
        <f>549200-361500</f>
        <v>187700</v>
      </c>
      <c r="I23" s="43">
        <f>1219800-883820</f>
        <v>335980</v>
      </c>
      <c r="J23" s="37">
        <f t="shared" si="0"/>
        <v>523680</v>
      </c>
      <c r="K23" s="37">
        <f t="shared" si="1"/>
        <v>3697.6899999999996</v>
      </c>
      <c r="L23" s="37">
        <f t="shared" si="2"/>
        <v>6618.8059999999996</v>
      </c>
      <c r="M23" s="37">
        <f t="shared" si="3"/>
        <v>10316.495999999999</v>
      </c>
      <c r="N23" s="37">
        <f>H23*G23*0.75</f>
        <v>2773.2674999999999</v>
      </c>
      <c r="O23" s="37">
        <f>I23*G23*0.75</f>
        <v>4964.1044999999995</v>
      </c>
      <c r="P23" s="37">
        <f>N23+O23</f>
        <v>7737.3719999999994</v>
      </c>
      <c r="Q23" s="37">
        <f>4870.8+4329.6</f>
        <v>9200.4000000000015</v>
      </c>
      <c r="R23" s="37">
        <f t="shared" si="4"/>
        <v>2773.2674999999999</v>
      </c>
      <c r="S23" s="53" t="s">
        <v>110</v>
      </c>
      <c r="T23" s="32"/>
      <c r="U23" s="33"/>
      <c r="V23" s="33"/>
      <c r="W23" s="1">
        <v>1387</v>
      </c>
      <c r="X23" s="1">
        <v>1387</v>
      </c>
      <c r="Y23" s="1">
        <f t="shared" ref="Y23:Y30" si="7">W23+X23</f>
        <v>2774</v>
      </c>
      <c r="Z23" s="33"/>
      <c r="AA23" s="1">
        <f t="shared" si="6"/>
        <v>2773.2674999999999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7"/>
    </row>
    <row r="24" spans="1:67" s="8" customFormat="1" ht="17.100000000000001" customHeight="1" x14ac:dyDescent="0.2">
      <c r="A24" s="40" t="s">
        <v>51</v>
      </c>
      <c r="B24" s="44" t="s">
        <v>62</v>
      </c>
      <c r="C24" s="44" t="s">
        <v>62</v>
      </c>
      <c r="D24" s="44" t="s">
        <v>62</v>
      </c>
      <c r="E24" s="37">
        <f>142500+43100+374000+7081400</f>
        <v>7641000</v>
      </c>
      <c r="F24" s="41" t="s">
        <v>12</v>
      </c>
      <c r="G24" s="38">
        <v>2.5649999999999999E-2</v>
      </c>
      <c r="H24" s="37">
        <f>6902400*0.4</f>
        <v>2760960</v>
      </c>
      <c r="I24" s="37">
        <v>0</v>
      </c>
      <c r="J24" s="37">
        <f t="shared" si="0"/>
        <v>2760960</v>
      </c>
      <c r="K24" s="37">
        <f t="shared" si="1"/>
        <v>70818.623999999996</v>
      </c>
      <c r="L24" s="37">
        <f t="shared" si="2"/>
        <v>0</v>
      </c>
      <c r="M24" s="37">
        <f t="shared" si="3"/>
        <v>70818.623999999996</v>
      </c>
      <c r="N24" s="37">
        <f>H24*G24</f>
        <v>70818.623999999996</v>
      </c>
      <c r="O24" s="37">
        <v>0</v>
      </c>
      <c r="P24" s="37">
        <f>O24+N24</f>
        <v>70818.623999999996</v>
      </c>
      <c r="Q24" s="37">
        <f>90819+90819</f>
        <v>181638</v>
      </c>
      <c r="R24" s="37">
        <f t="shared" si="4"/>
        <v>70818.623999999996</v>
      </c>
      <c r="S24" s="39" t="s">
        <v>120</v>
      </c>
      <c r="T24" s="2"/>
      <c r="U24" s="2"/>
      <c r="V24" s="2"/>
      <c r="W24" s="4">
        <v>78294</v>
      </c>
      <c r="X24" s="3">
        <v>0</v>
      </c>
      <c r="Y24" s="1">
        <f t="shared" si="7"/>
        <v>78294</v>
      </c>
      <c r="Z24" s="6"/>
      <c r="AA24" s="1">
        <f t="shared" si="6"/>
        <v>70818.623999999996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7"/>
    </row>
    <row r="25" spans="1:67" s="8" customFormat="1" ht="17.100000000000001" customHeight="1" x14ac:dyDescent="0.2">
      <c r="A25" s="40" t="s">
        <v>40</v>
      </c>
      <c r="B25" s="44" t="s">
        <v>62</v>
      </c>
      <c r="C25" s="44" t="s">
        <v>62</v>
      </c>
      <c r="D25" s="44" t="s">
        <v>62</v>
      </c>
      <c r="E25" s="37">
        <f>1634400+4274150+3796140+3302180+4309620</f>
        <v>17316490</v>
      </c>
      <c r="F25" s="41" t="s">
        <v>41</v>
      </c>
      <c r="G25" s="38">
        <v>1.6400000000000001E-2</v>
      </c>
      <c r="H25" s="37">
        <v>4274150</v>
      </c>
      <c r="I25" s="37">
        <v>1634400</v>
      </c>
      <c r="J25" s="37">
        <f t="shared" si="0"/>
        <v>5908550</v>
      </c>
      <c r="K25" s="37">
        <f t="shared" si="1"/>
        <v>70096.060000000012</v>
      </c>
      <c r="L25" s="37">
        <f t="shared" si="2"/>
        <v>26804.160000000003</v>
      </c>
      <c r="M25" s="37">
        <f t="shared" si="3"/>
        <v>96900.22</v>
      </c>
      <c r="N25" s="37">
        <f>H25*G25*0.99</f>
        <v>69395.099400000006</v>
      </c>
      <c r="O25" s="37">
        <f>I25*G25*0.99</f>
        <v>26536.118400000003</v>
      </c>
      <c r="P25" s="37">
        <f>N25+O25</f>
        <v>95931.217800000013</v>
      </c>
      <c r="Q25" s="37">
        <v>35625</v>
      </c>
      <c r="R25" s="37">
        <f t="shared" si="4"/>
        <v>35625</v>
      </c>
      <c r="S25" s="39" t="s">
        <v>80</v>
      </c>
      <c r="T25" s="2"/>
      <c r="U25" s="2"/>
      <c r="V25" s="2"/>
      <c r="W25" s="4">
        <v>32062</v>
      </c>
      <c r="X25" s="3">
        <v>28487</v>
      </c>
      <c r="Y25" s="1">
        <f t="shared" si="7"/>
        <v>60549</v>
      </c>
      <c r="Z25" s="6"/>
      <c r="AA25" s="1">
        <f t="shared" si="6"/>
        <v>35625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7"/>
    </row>
    <row r="26" spans="1:67" s="8" customFormat="1" ht="15" x14ac:dyDescent="0.2">
      <c r="A26" s="40" t="s">
        <v>82</v>
      </c>
      <c r="B26" s="44" t="s">
        <v>62</v>
      </c>
      <c r="C26" s="44" t="s">
        <v>62</v>
      </c>
      <c r="D26" s="44" t="s">
        <v>62</v>
      </c>
      <c r="E26" s="37">
        <f>134731300+42606200+56634300</f>
        <v>233971800</v>
      </c>
      <c r="F26" s="41" t="s">
        <v>11</v>
      </c>
      <c r="G26" s="38">
        <v>1.6500000000000001E-2</v>
      </c>
      <c r="H26" s="37">
        <v>60166650</v>
      </c>
      <c r="I26" s="37">
        <v>18247600</v>
      </c>
      <c r="J26" s="37">
        <f t="shared" si="0"/>
        <v>78414250</v>
      </c>
      <c r="K26" s="37">
        <f t="shared" si="1"/>
        <v>992749.72500000009</v>
      </c>
      <c r="L26" s="37">
        <f t="shared" si="2"/>
        <v>301085.40000000002</v>
      </c>
      <c r="M26" s="37">
        <f t="shared" si="3"/>
        <v>1293835.125</v>
      </c>
      <c r="N26" s="37">
        <f>H26*G26*0.8</f>
        <v>794199.78000000014</v>
      </c>
      <c r="O26" s="37">
        <f>I26*G26*0.8</f>
        <v>240868.32000000004</v>
      </c>
      <c r="P26" s="37">
        <f>N26+O26</f>
        <v>1035068.1000000002</v>
      </c>
      <c r="Q26" s="37">
        <f>738397.8+656353.6</f>
        <v>1394751.4</v>
      </c>
      <c r="R26" s="37">
        <f t="shared" si="4"/>
        <v>782543</v>
      </c>
      <c r="S26" s="45" t="s">
        <v>114</v>
      </c>
      <c r="T26" s="2"/>
      <c r="U26" s="2"/>
      <c r="V26" s="2"/>
      <c r="W26" s="4">
        <v>391271</v>
      </c>
      <c r="X26" s="3">
        <v>391272</v>
      </c>
      <c r="Y26" s="1">
        <f t="shared" si="7"/>
        <v>782543</v>
      </c>
      <c r="Z26" s="6"/>
      <c r="AA26" s="1">
        <f t="shared" si="6"/>
        <v>794199.78000000014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7"/>
    </row>
    <row r="27" spans="1:67" s="8" customFormat="1" ht="15" x14ac:dyDescent="0.2">
      <c r="A27" s="40" t="s">
        <v>28</v>
      </c>
      <c r="B27" s="44" t="s">
        <v>62</v>
      </c>
      <c r="C27" s="44" t="s">
        <v>62</v>
      </c>
      <c r="D27" s="44" t="s">
        <v>62</v>
      </c>
      <c r="E27" s="37">
        <f>76803006+70697565+26285852</f>
        <v>173786423</v>
      </c>
      <c r="F27" s="41" t="s">
        <v>17</v>
      </c>
      <c r="G27" s="38">
        <v>1.035E-2</v>
      </c>
      <c r="H27" s="37">
        <f>70697565*0.85</f>
        <v>60092930.25</v>
      </c>
      <c r="I27" s="37">
        <f>(76803006-120000)*0.85</f>
        <v>65180555.100000001</v>
      </c>
      <c r="J27" s="37">
        <f t="shared" si="0"/>
        <v>125273485.34999999</v>
      </c>
      <c r="K27" s="37">
        <f t="shared" si="1"/>
        <v>621961.82808749995</v>
      </c>
      <c r="L27" s="37">
        <f t="shared" si="2"/>
        <v>674618.74528499995</v>
      </c>
      <c r="M27" s="37">
        <f t="shared" si="3"/>
        <v>1296580.5733725</v>
      </c>
      <c r="N27" s="37">
        <f>H27*G27*0.75</f>
        <v>466471.37106562499</v>
      </c>
      <c r="O27" s="37">
        <f>I27*G27*0.75</f>
        <v>505964.05896374997</v>
      </c>
      <c r="P27" s="37">
        <f>N27+O27</f>
        <v>972435.43002937501</v>
      </c>
      <c r="Q27" s="37">
        <f>290011+326263</f>
        <v>616274</v>
      </c>
      <c r="R27" s="37">
        <f t="shared" si="4"/>
        <v>466471.37106562499</v>
      </c>
      <c r="S27" s="39" t="s">
        <v>78</v>
      </c>
      <c r="T27" s="2"/>
      <c r="U27" s="2"/>
      <c r="V27" s="2"/>
      <c r="W27" s="4">
        <v>362514</v>
      </c>
      <c r="X27" s="3">
        <v>362514</v>
      </c>
      <c r="Y27" s="1">
        <f t="shared" si="7"/>
        <v>725028</v>
      </c>
      <c r="Z27" s="6"/>
      <c r="AA27" s="1">
        <f t="shared" si="6"/>
        <v>466471.37106562499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7"/>
    </row>
    <row r="28" spans="1:67" s="8" customFormat="1" ht="17.100000000000001" customHeight="1" x14ac:dyDescent="0.2">
      <c r="A28" s="40" t="s">
        <v>28</v>
      </c>
      <c r="B28" s="44" t="s">
        <v>62</v>
      </c>
      <c r="C28" s="44" t="s">
        <v>62</v>
      </c>
      <c r="D28" s="44" t="s">
        <v>62</v>
      </c>
      <c r="E28" s="37">
        <f>60974356+73896790+16389753</f>
        <v>151260899</v>
      </c>
      <c r="F28" s="41" t="s">
        <v>30</v>
      </c>
      <c r="G28" s="38">
        <v>1.3650000000000001E-2</v>
      </c>
      <c r="H28" s="37">
        <f>39628090*0.9</f>
        <v>35665281</v>
      </c>
      <c r="I28" s="46">
        <f>49786956*0.9</f>
        <v>44808260.399999999</v>
      </c>
      <c r="J28" s="37">
        <f t="shared" si="0"/>
        <v>80473541.400000006</v>
      </c>
      <c r="K28" s="37">
        <f t="shared" si="1"/>
        <v>486831.08565000002</v>
      </c>
      <c r="L28" s="37">
        <f t="shared" si="2"/>
        <v>611632.75445999997</v>
      </c>
      <c r="M28" s="37">
        <f t="shared" si="3"/>
        <v>1098463.8401100002</v>
      </c>
      <c r="N28" s="37">
        <f>H28*G28*0.26</f>
        <v>126576.08226900001</v>
      </c>
      <c r="O28" s="37">
        <f>I28*G28*0.26</f>
        <v>159024.5161596</v>
      </c>
      <c r="P28" s="37">
        <f>N28+O28</f>
        <v>285600.5984286</v>
      </c>
      <c r="Q28" s="37">
        <f>344710+306409</f>
        <v>651119</v>
      </c>
      <c r="R28" s="37">
        <f t="shared" si="4"/>
        <v>126576.08226900001</v>
      </c>
      <c r="S28" s="45" t="s">
        <v>127</v>
      </c>
      <c r="T28" s="2"/>
      <c r="U28" s="2"/>
      <c r="V28" s="2"/>
      <c r="W28" s="4">
        <v>383011</v>
      </c>
      <c r="X28" s="3">
        <v>383011</v>
      </c>
      <c r="Y28" s="1">
        <f t="shared" si="7"/>
        <v>766022</v>
      </c>
      <c r="Z28" s="6"/>
      <c r="AA28" s="1">
        <f t="shared" si="6"/>
        <v>126576.08226900001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7"/>
    </row>
    <row r="29" spans="1:67" s="8" customFormat="1" ht="17.100000000000001" customHeight="1" x14ac:dyDescent="0.2">
      <c r="A29" s="40" t="s">
        <v>65</v>
      </c>
      <c r="B29" s="44" t="s">
        <v>62</v>
      </c>
      <c r="C29" s="44" t="s">
        <v>62</v>
      </c>
      <c r="D29" s="44" t="s">
        <v>62</v>
      </c>
      <c r="E29" s="37">
        <f>6824930+21251760+4588510</f>
        <v>32665200</v>
      </c>
      <c r="F29" s="41" t="s">
        <v>18</v>
      </c>
      <c r="G29" s="38">
        <v>1.882E-2</v>
      </c>
      <c r="H29" s="37">
        <f>(21251760-12754650)/2</f>
        <v>4248555</v>
      </c>
      <c r="I29" s="37">
        <f>(6824930-5646870)*0.5</f>
        <v>589030</v>
      </c>
      <c r="J29" s="37">
        <f t="shared" si="0"/>
        <v>4837585</v>
      </c>
      <c r="K29" s="37">
        <f t="shared" si="1"/>
        <v>79957.805099999998</v>
      </c>
      <c r="L29" s="37">
        <f t="shared" si="2"/>
        <v>11085.544599999999</v>
      </c>
      <c r="M29" s="37">
        <f t="shared" si="3"/>
        <v>91043.349700000006</v>
      </c>
      <c r="N29" s="37">
        <f>H29*G29</f>
        <v>79957.805099999998</v>
      </c>
      <c r="O29" s="37">
        <f>I29*G29</f>
        <v>11085.544599999999</v>
      </c>
      <c r="P29" s="37">
        <f>N29+O29</f>
        <v>91043.349699999992</v>
      </c>
      <c r="Q29" s="37">
        <f>75373+(74442.4*0.8)</f>
        <v>134926.91999999998</v>
      </c>
      <c r="R29" s="37">
        <f t="shared" si="4"/>
        <v>79957.805099999998</v>
      </c>
      <c r="S29" s="39" t="s">
        <v>115</v>
      </c>
      <c r="T29" s="2"/>
      <c r="U29" s="2"/>
      <c r="V29" s="2"/>
      <c r="W29" s="4">
        <v>74442</v>
      </c>
      <c r="X29" s="3">
        <v>61816</v>
      </c>
      <c r="Y29" s="1">
        <f t="shared" si="7"/>
        <v>136258</v>
      </c>
      <c r="Z29" s="6"/>
      <c r="AA29" s="1">
        <f t="shared" si="6"/>
        <v>79957.805099999998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7"/>
    </row>
    <row r="30" spans="1:67" s="8" customFormat="1" ht="17.100000000000001" customHeight="1" x14ac:dyDescent="0.2">
      <c r="A30" s="40" t="s">
        <v>38</v>
      </c>
      <c r="B30" s="44" t="s">
        <v>62</v>
      </c>
      <c r="C30" s="44" t="s">
        <v>62</v>
      </c>
      <c r="D30" s="44" t="s">
        <v>62</v>
      </c>
      <c r="E30" s="37">
        <f>747000+3537400+471700</f>
        <v>4756100</v>
      </c>
      <c r="F30" s="41" t="s">
        <v>14</v>
      </c>
      <c r="G30" s="38">
        <v>1.755E-2</v>
      </c>
      <c r="H30" s="37">
        <f>408600*0.4</f>
        <v>163440</v>
      </c>
      <c r="I30" s="37">
        <f>4021800*0.4</f>
        <v>1608720</v>
      </c>
      <c r="J30" s="37">
        <f t="shared" si="0"/>
        <v>1772160</v>
      </c>
      <c r="K30" s="37">
        <f t="shared" si="1"/>
        <v>2868.3719999999998</v>
      </c>
      <c r="L30" s="37">
        <f t="shared" si="2"/>
        <v>28233.036</v>
      </c>
      <c r="M30" s="37">
        <f t="shared" si="3"/>
        <v>31101.407999999999</v>
      </c>
      <c r="N30" s="37">
        <f>H30*G30</f>
        <v>2868.3719999999998</v>
      </c>
      <c r="O30" s="37">
        <f>I30*G30</f>
        <v>28233.036</v>
      </c>
      <c r="P30" s="37">
        <f>O30+N30</f>
        <v>31101.407999999999</v>
      </c>
      <c r="Q30" s="37">
        <f>12336.3+10965.6</f>
        <v>23301.9</v>
      </c>
      <c r="R30" s="37">
        <f t="shared" si="4"/>
        <v>2868.3719999999998</v>
      </c>
      <c r="S30" s="39" t="s">
        <v>90</v>
      </c>
      <c r="T30" s="2"/>
      <c r="U30" s="2"/>
      <c r="V30" s="2"/>
      <c r="W30" s="4">
        <v>12336</v>
      </c>
      <c r="X30" s="3">
        <v>10966</v>
      </c>
      <c r="Y30" s="1">
        <f t="shared" si="7"/>
        <v>23302</v>
      </c>
      <c r="Z30" s="6"/>
      <c r="AA30" s="1">
        <f t="shared" si="6"/>
        <v>2868.3719999999998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7"/>
    </row>
    <row r="31" spans="1:67" s="8" customFormat="1" ht="17.100000000000001" customHeight="1" x14ac:dyDescent="0.2">
      <c r="A31" s="40" t="s">
        <v>66</v>
      </c>
      <c r="B31" s="44" t="s">
        <v>62</v>
      </c>
      <c r="C31" s="44" t="s">
        <v>62</v>
      </c>
      <c r="D31" s="44" t="s">
        <v>62</v>
      </c>
      <c r="E31" s="37">
        <f>3620500+906500+866700</f>
        <v>5393700</v>
      </c>
      <c r="F31" s="41" t="s">
        <v>25</v>
      </c>
      <c r="G31" s="38">
        <v>2.0199999999999999E-2</v>
      </c>
      <c r="H31" s="37">
        <v>866700</v>
      </c>
      <c r="I31" s="37">
        <v>3620500</v>
      </c>
      <c r="J31" s="37">
        <f t="shared" si="0"/>
        <v>4487200</v>
      </c>
      <c r="K31" s="37">
        <f t="shared" si="1"/>
        <v>17507.34</v>
      </c>
      <c r="L31" s="37">
        <f t="shared" si="2"/>
        <v>73134.099999999991</v>
      </c>
      <c r="M31" s="37">
        <f t="shared" si="3"/>
        <v>90641.44</v>
      </c>
      <c r="N31" s="37">
        <f>H31*G31*0.65</f>
        <v>11379.771000000001</v>
      </c>
      <c r="O31" s="37">
        <f>I31*G31*0.65</f>
        <v>47537.164999999994</v>
      </c>
      <c r="P31" s="37">
        <f>O31+N31</f>
        <v>58916.935999999994</v>
      </c>
      <c r="Q31" s="37">
        <v>59154.3</v>
      </c>
      <c r="R31" s="37">
        <f t="shared" si="4"/>
        <v>11379.771000000001</v>
      </c>
      <c r="S31" s="39" t="s">
        <v>119</v>
      </c>
      <c r="T31" s="2"/>
      <c r="U31" s="2"/>
      <c r="V31" s="2"/>
      <c r="W31" s="4" t="s">
        <v>131</v>
      </c>
      <c r="X31" s="4" t="s">
        <v>131</v>
      </c>
      <c r="Y31" s="4" t="s">
        <v>131</v>
      </c>
      <c r="Z31" s="6"/>
      <c r="AA31" s="1">
        <f t="shared" si="6"/>
        <v>11379.771000000001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7"/>
    </row>
    <row r="32" spans="1:67" s="8" customFormat="1" ht="17.100000000000001" customHeight="1" x14ac:dyDescent="0.2">
      <c r="A32" s="40" t="s">
        <v>31</v>
      </c>
      <c r="B32" s="44" t="s">
        <v>62</v>
      </c>
      <c r="C32" s="44" t="s">
        <v>62</v>
      </c>
      <c r="D32" s="44" t="s">
        <v>62</v>
      </c>
      <c r="E32" s="37">
        <f>4676600+7484000+729300</f>
        <v>12889900</v>
      </c>
      <c r="F32" s="41" t="s">
        <v>32</v>
      </c>
      <c r="G32" s="38">
        <v>1.7299999999999999E-2</v>
      </c>
      <c r="H32" s="37">
        <f>4198500*0.75</f>
        <v>3148875</v>
      </c>
      <c r="I32" s="37">
        <f>1660800*0.75</f>
        <v>1245600</v>
      </c>
      <c r="J32" s="37">
        <f t="shared" si="0"/>
        <v>4394475</v>
      </c>
      <c r="K32" s="37">
        <f t="shared" si="1"/>
        <v>54475.537499999999</v>
      </c>
      <c r="L32" s="37">
        <f t="shared" si="2"/>
        <v>21548.880000000001</v>
      </c>
      <c r="M32" s="37">
        <f t="shared" si="3"/>
        <v>76024.417499999996</v>
      </c>
      <c r="N32" s="37">
        <f>H32*G32*0.99</f>
        <v>53930.782124999998</v>
      </c>
      <c r="O32" s="37">
        <f>I32*G32*0.99</f>
        <v>21333.391200000002</v>
      </c>
      <c r="P32" s="37">
        <f>O32+N32</f>
        <v>75264.173324999996</v>
      </c>
      <c r="Q32" s="37">
        <v>29306.7</v>
      </c>
      <c r="R32" s="37">
        <f t="shared" si="4"/>
        <v>16097</v>
      </c>
      <c r="S32" s="39" t="s">
        <v>118</v>
      </c>
      <c r="T32" s="2"/>
      <c r="U32" s="2"/>
      <c r="V32" s="2"/>
      <c r="W32" s="4">
        <v>7391</v>
      </c>
      <c r="X32" s="3">
        <v>8706</v>
      </c>
      <c r="Y32" s="1">
        <f>W32+X32</f>
        <v>16097</v>
      </c>
      <c r="Z32" s="6"/>
      <c r="AA32" s="1">
        <f t="shared" si="6"/>
        <v>29306.7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7"/>
    </row>
    <row r="33" spans="1:67" s="8" customFormat="1" ht="17.100000000000001" customHeight="1" x14ac:dyDescent="0.2">
      <c r="A33" s="40" t="s">
        <v>84</v>
      </c>
      <c r="B33" s="44" t="s">
        <v>64</v>
      </c>
      <c r="C33" s="44" t="s">
        <v>62</v>
      </c>
      <c r="D33" s="44" t="s">
        <v>70</v>
      </c>
      <c r="E33" s="37">
        <v>4324500</v>
      </c>
      <c r="F33" s="41" t="s">
        <v>21</v>
      </c>
      <c r="G33" s="38">
        <v>1.6539999999999999E-2</v>
      </c>
      <c r="H33" s="37">
        <f>385500*0.5</f>
        <v>192750</v>
      </c>
      <c r="I33" s="37">
        <f>752500*0.5</f>
        <v>376250</v>
      </c>
      <c r="J33" s="37">
        <f t="shared" si="0"/>
        <v>569000</v>
      </c>
      <c r="K33" s="37">
        <f>+H33*G33</f>
        <v>3188.085</v>
      </c>
      <c r="L33" s="37">
        <f>+I33*G33</f>
        <v>6223.1749999999993</v>
      </c>
      <c r="M33" s="37">
        <f t="shared" si="3"/>
        <v>9411.26</v>
      </c>
      <c r="N33" s="37">
        <f>H33*G33</f>
        <v>3188.085</v>
      </c>
      <c r="O33" s="37">
        <f>I33*G33</f>
        <v>6223.1749999999993</v>
      </c>
      <c r="P33" s="37">
        <f t="shared" ref="P33:P39" si="8">N33+O33</f>
        <v>9411.2599999999984</v>
      </c>
      <c r="Q33" s="37">
        <f>4733.1</f>
        <v>4733.1000000000004</v>
      </c>
      <c r="R33" s="37">
        <f t="shared" si="4"/>
        <v>3188.085</v>
      </c>
      <c r="S33" s="39" t="s">
        <v>85</v>
      </c>
      <c r="T33" s="2"/>
      <c r="U33" s="2"/>
      <c r="V33" s="2"/>
      <c r="W33" s="4" t="s">
        <v>131</v>
      </c>
      <c r="X33" s="4" t="s">
        <v>131</v>
      </c>
      <c r="Y33" s="4" t="s">
        <v>131</v>
      </c>
      <c r="Z33" s="6"/>
      <c r="AA33" s="1">
        <f t="shared" si="6"/>
        <v>3188.085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7"/>
    </row>
    <row r="34" spans="1:67" s="8" customFormat="1" ht="17.100000000000001" customHeight="1" x14ac:dyDescent="0.2">
      <c r="A34" s="40" t="s">
        <v>35</v>
      </c>
      <c r="B34" s="40"/>
      <c r="C34" s="40"/>
      <c r="D34" s="40"/>
      <c r="E34" s="37">
        <f>1296800+5868700+5416500+4446500</f>
        <v>17028500</v>
      </c>
      <c r="F34" s="41" t="s">
        <v>36</v>
      </c>
      <c r="G34" s="38">
        <v>8.9999999999999993E-3</v>
      </c>
      <c r="H34" s="37">
        <v>4799495</v>
      </c>
      <c r="I34" s="37">
        <v>6850728</v>
      </c>
      <c r="J34" s="37">
        <f t="shared" si="0"/>
        <v>11650223</v>
      </c>
      <c r="K34" s="37">
        <f>H34*G34</f>
        <v>43195.454999999994</v>
      </c>
      <c r="L34" s="37">
        <f>I34*G34</f>
        <v>61656.551999999996</v>
      </c>
      <c r="M34" s="37">
        <f t="shared" si="3"/>
        <v>104852.007</v>
      </c>
      <c r="N34" s="37">
        <f>H34*G34*0.698</f>
        <v>30150.427589999996</v>
      </c>
      <c r="O34" s="37">
        <f>I34*G34*0.698</f>
        <v>43036.273295999992</v>
      </c>
      <c r="P34" s="37">
        <f t="shared" si="8"/>
        <v>73186.700885999991</v>
      </c>
      <c r="Q34" s="37">
        <f>34643.7</f>
        <v>34643.699999999997</v>
      </c>
      <c r="R34" s="37">
        <f t="shared" si="4"/>
        <v>30150.427589999996</v>
      </c>
      <c r="S34" s="54" t="s">
        <v>126</v>
      </c>
      <c r="T34" s="32"/>
      <c r="U34" s="32"/>
      <c r="V34" s="32"/>
      <c r="W34" s="4" t="s">
        <v>131</v>
      </c>
      <c r="X34" s="31" t="s">
        <v>131</v>
      </c>
      <c r="Y34" s="4" t="s">
        <v>131</v>
      </c>
      <c r="Z34" s="6"/>
      <c r="AA34" s="1">
        <f t="shared" si="6"/>
        <v>30150.427589999996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7"/>
    </row>
    <row r="35" spans="1:67" s="8" customFormat="1" ht="17.100000000000001" customHeight="1" x14ac:dyDescent="0.2">
      <c r="A35" s="40" t="s">
        <v>87</v>
      </c>
      <c r="B35" s="44" t="s">
        <v>62</v>
      </c>
      <c r="C35" s="47"/>
      <c r="D35" s="47"/>
      <c r="E35" s="37">
        <f>907000+1169800+6515400+207300</f>
        <v>8799500</v>
      </c>
      <c r="F35" s="41" t="s">
        <v>8</v>
      </c>
      <c r="G35" s="38">
        <v>1.7399999999999999E-2</v>
      </c>
      <c r="H35" s="37">
        <v>1169800</v>
      </c>
      <c r="I35" s="37">
        <f>6515400+207300-324700</f>
        <v>6398000</v>
      </c>
      <c r="J35" s="37">
        <f t="shared" si="0"/>
        <v>7567800</v>
      </c>
      <c r="K35" s="37">
        <f>H35*G35</f>
        <v>20354.519999999997</v>
      </c>
      <c r="L35" s="37">
        <f>I35*G35</f>
        <v>111325.2</v>
      </c>
      <c r="M35" s="37">
        <f t="shared" si="3"/>
        <v>131679.72</v>
      </c>
      <c r="N35" s="37">
        <f>H35*G35*0.5</f>
        <v>10177.259999999998</v>
      </c>
      <c r="O35" s="37">
        <f>I35*G35*0.5</f>
        <v>55662.6</v>
      </c>
      <c r="P35" s="37">
        <f t="shared" si="8"/>
        <v>65839.86</v>
      </c>
      <c r="Q35" s="37">
        <f>28377+25224</f>
        <v>53601</v>
      </c>
      <c r="R35" s="37">
        <f t="shared" si="4"/>
        <v>10177.259999999998</v>
      </c>
      <c r="S35" s="39" t="s">
        <v>88</v>
      </c>
      <c r="T35" s="2"/>
      <c r="U35" s="2"/>
      <c r="V35" s="2"/>
      <c r="W35" s="4">
        <v>13690</v>
      </c>
      <c r="X35" s="3">
        <v>11093</v>
      </c>
      <c r="Y35" s="1">
        <f t="shared" ref="Y35:Y42" si="9">W35+X35</f>
        <v>24783</v>
      </c>
      <c r="Z35" s="2"/>
      <c r="AA35" s="1">
        <f t="shared" si="6"/>
        <v>10177.259999999998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7"/>
    </row>
    <row r="36" spans="1:67" s="8" customFormat="1" ht="17.100000000000001" customHeight="1" x14ac:dyDescent="0.2">
      <c r="A36" s="40" t="s">
        <v>56</v>
      </c>
      <c r="B36" s="44" t="s">
        <v>62</v>
      </c>
      <c r="C36" s="44" t="s">
        <v>62</v>
      </c>
      <c r="D36" s="44" t="s">
        <v>62</v>
      </c>
      <c r="E36" s="37">
        <f>63500+5248700+13075640</f>
        <v>18387840</v>
      </c>
      <c r="F36" s="41" t="s">
        <v>13</v>
      </c>
      <c r="G36" s="38">
        <v>1.29E-2</v>
      </c>
      <c r="H36" s="37">
        <f>13075640-125680</f>
        <v>12949960</v>
      </c>
      <c r="I36" s="37">
        <f>5312200-17180</f>
        <v>5295020</v>
      </c>
      <c r="J36" s="37">
        <f t="shared" si="0"/>
        <v>18244980</v>
      </c>
      <c r="K36" s="37">
        <f>H36*G36</f>
        <v>167054.484</v>
      </c>
      <c r="L36" s="37">
        <f>I36*G36</f>
        <v>68305.758000000002</v>
      </c>
      <c r="M36" s="37">
        <f t="shared" si="3"/>
        <v>235360.242</v>
      </c>
      <c r="N36" s="37">
        <f>H36*G36</f>
        <v>167054.484</v>
      </c>
      <c r="O36" s="37">
        <f>I36*G36</f>
        <v>68305.758000000002</v>
      </c>
      <c r="P36" s="37">
        <f t="shared" si="8"/>
        <v>235360.242</v>
      </c>
      <c r="Q36" s="37">
        <f>219036.6</f>
        <v>219036.6</v>
      </c>
      <c r="R36" s="37">
        <f t="shared" si="4"/>
        <v>103494</v>
      </c>
      <c r="S36" s="39" t="s">
        <v>79</v>
      </c>
      <c r="T36" s="2"/>
      <c r="U36" s="2"/>
      <c r="V36" s="2"/>
      <c r="W36" s="4">
        <v>0</v>
      </c>
      <c r="X36" s="3">
        <v>103494</v>
      </c>
      <c r="Y36" s="1">
        <f t="shared" si="9"/>
        <v>103494</v>
      </c>
      <c r="Z36" s="6"/>
      <c r="AA36" s="1">
        <f t="shared" si="6"/>
        <v>167054.484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7"/>
    </row>
    <row r="37" spans="1:67" s="8" customFormat="1" ht="17.100000000000001" customHeight="1" x14ac:dyDescent="0.2">
      <c r="A37" s="40" t="s">
        <v>42</v>
      </c>
      <c r="B37" s="44" t="s">
        <v>62</v>
      </c>
      <c r="C37" s="44" t="s">
        <v>62</v>
      </c>
      <c r="D37" s="44" t="s">
        <v>62</v>
      </c>
      <c r="E37" s="37">
        <f>60242000+2267750+295790</f>
        <v>62805540</v>
      </c>
      <c r="F37" s="41" t="s">
        <v>18</v>
      </c>
      <c r="G37" s="38">
        <v>1.882E-2</v>
      </c>
      <c r="H37" s="37">
        <v>2267750</v>
      </c>
      <c r="I37" s="37">
        <f>60242000-1383070</f>
        <v>58858930</v>
      </c>
      <c r="J37" s="37">
        <f t="shared" si="0"/>
        <v>61126680</v>
      </c>
      <c r="K37" s="37">
        <f>H37*G37</f>
        <v>42679.055</v>
      </c>
      <c r="L37" s="37">
        <f>I37*G37</f>
        <v>1107725.0626000001</v>
      </c>
      <c r="M37" s="37">
        <f t="shared" si="3"/>
        <v>1150404.1176</v>
      </c>
      <c r="N37" s="37">
        <f>H37*G37*0.75</f>
        <v>32009.291250000002</v>
      </c>
      <c r="O37" s="37">
        <f>I37*G37*0.75</f>
        <v>830793.79695000011</v>
      </c>
      <c r="P37" s="37">
        <f t="shared" si="8"/>
        <v>862803.08820000011</v>
      </c>
      <c r="Q37" s="37">
        <v>229631</v>
      </c>
      <c r="R37" s="37">
        <f t="shared" si="4"/>
        <v>32009.291250000002</v>
      </c>
      <c r="S37" s="39" t="s">
        <v>75</v>
      </c>
      <c r="T37" s="2"/>
      <c r="U37" s="2"/>
      <c r="V37" s="2"/>
      <c r="W37" s="4">
        <v>136448</v>
      </c>
      <c r="X37" s="3">
        <v>85386</v>
      </c>
      <c r="Y37" s="1">
        <f t="shared" si="9"/>
        <v>221834</v>
      </c>
      <c r="Z37" s="6"/>
      <c r="AA37" s="1">
        <f t="shared" si="6"/>
        <v>32009.291250000002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7"/>
    </row>
    <row r="38" spans="1:67" s="8" customFormat="1" ht="15" x14ac:dyDescent="0.2">
      <c r="A38" s="40" t="s">
        <v>93</v>
      </c>
      <c r="B38" s="44" t="s">
        <v>62</v>
      </c>
      <c r="C38" s="47"/>
      <c r="D38" s="47"/>
      <c r="E38" s="37">
        <f>307200+613000+129900</f>
        <v>1050100</v>
      </c>
      <c r="F38" s="41" t="s">
        <v>22</v>
      </c>
      <c r="G38" s="38">
        <v>1.6299999999999999E-2</v>
      </c>
      <c r="H38" s="37">
        <f>129900/2</f>
        <v>64950</v>
      </c>
      <c r="I38" s="37">
        <v>351550</v>
      </c>
      <c r="J38" s="37">
        <f t="shared" si="0"/>
        <v>416500</v>
      </c>
      <c r="K38" s="47"/>
      <c r="L38" s="47"/>
      <c r="M38" s="47">
        <f t="shared" si="3"/>
        <v>6788.95</v>
      </c>
      <c r="N38" s="37">
        <f>H38*G38</f>
        <v>1058.6849999999999</v>
      </c>
      <c r="O38" s="37">
        <f>I38*G38</f>
        <v>5730.2649999999994</v>
      </c>
      <c r="P38" s="37">
        <f t="shared" si="8"/>
        <v>6788.9499999999989</v>
      </c>
      <c r="Q38" s="37">
        <f>59775.3+821.6</f>
        <v>60596.9</v>
      </c>
      <c r="R38" s="37">
        <f t="shared" si="4"/>
        <v>1058.6849999999999</v>
      </c>
      <c r="S38" s="39" t="s">
        <v>94</v>
      </c>
      <c r="T38" s="2"/>
      <c r="U38" s="2"/>
      <c r="V38" s="2"/>
      <c r="W38" s="4">
        <v>2114</v>
      </c>
      <c r="X38" s="3">
        <v>0</v>
      </c>
      <c r="Y38" s="1">
        <f t="shared" si="9"/>
        <v>2114</v>
      </c>
      <c r="Z38" s="2"/>
      <c r="AA38" s="1">
        <f t="shared" si="6"/>
        <v>1058.6849999999999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7"/>
    </row>
    <row r="39" spans="1:67" s="6" customFormat="1" ht="17.100000000000001" customHeight="1" x14ac:dyDescent="0.2">
      <c r="A39" s="40" t="s">
        <v>39</v>
      </c>
      <c r="B39" s="44" t="s">
        <v>62</v>
      </c>
      <c r="C39" s="47" t="s">
        <v>62</v>
      </c>
      <c r="D39" s="47" t="s">
        <v>62</v>
      </c>
      <c r="E39" s="37">
        <f>119780793+39676503+52244600+1236400</f>
        <v>212938296</v>
      </c>
      <c r="F39" s="41" t="s">
        <v>23</v>
      </c>
      <c r="G39" s="38">
        <v>1.294E-2</v>
      </c>
      <c r="H39" s="37">
        <f>61141399.98</f>
        <v>61141399.979999997</v>
      </c>
      <c r="I39" s="37">
        <v>12291004.33</v>
      </c>
      <c r="J39" s="37">
        <f t="shared" si="0"/>
        <v>73432404.310000002</v>
      </c>
      <c r="K39" s="47">
        <f>H39*G39</f>
        <v>791169.71574119991</v>
      </c>
      <c r="L39" s="47">
        <f>I39*G39</f>
        <v>159045.59603020002</v>
      </c>
      <c r="M39" s="47">
        <f t="shared" si="3"/>
        <v>950215.31177140004</v>
      </c>
      <c r="N39" s="37">
        <f>H39*G39*0.75</f>
        <v>593377.28680589993</v>
      </c>
      <c r="O39" s="37">
        <f>I39*G39*0.75</f>
        <v>119284.19702265001</v>
      </c>
      <c r="P39" s="37">
        <f t="shared" si="8"/>
        <v>712661.48382854997</v>
      </c>
      <c r="Q39" s="37">
        <v>692386</v>
      </c>
      <c r="R39" s="37">
        <f t="shared" si="4"/>
        <v>67712</v>
      </c>
      <c r="S39" s="45" t="s">
        <v>123</v>
      </c>
      <c r="T39" s="2"/>
      <c r="U39" s="2"/>
      <c r="V39" s="2"/>
      <c r="W39" s="4">
        <v>33856</v>
      </c>
      <c r="X39" s="3">
        <v>33856</v>
      </c>
      <c r="Y39" s="1">
        <f t="shared" si="9"/>
        <v>67712</v>
      </c>
      <c r="Z39" s="2"/>
      <c r="AA39" s="1">
        <f t="shared" si="6"/>
        <v>593377.28680589993</v>
      </c>
    </row>
    <row r="40" spans="1:67" s="6" customFormat="1" ht="15" x14ac:dyDescent="0.2">
      <c r="A40" s="40" t="s">
        <v>58</v>
      </c>
      <c r="B40" s="44" t="s">
        <v>62</v>
      </c>
      <c r="C40" s="44" t="s">
        <v>62</v>
      </c>
      <c r="D40" s="44" t="s">
        <v>62</v>
      </c>
      <c r="E40" s="37">
        <v>199471392</v>
      </c>
      <c r="F40" s="41" t="s">
        <v>20</v>
      </c>
      <c r="G40" s="38">
        <v>1.375E-2</v>
      </c>
      <c r="H40" s="37">
        <v>171945664</v>
      </c>
      <c r="I40" s="37">
        <v>0</v>
      </c>
      <c r="J40" s="37">
        <f t="shared" si="0"/>
        <v>171945664</v>
      </c>
      <c r="K40" s="37">
        <v>210259704</v>
      </c>
      <c r="L40" s="37">
        <f>I40*G40</f>
        <v>0</v>
      </c>
      <c r="M40" s="37">
        <f t="shared" si="3"/>
        <v>2364252.88</v>
      </c>
      <c r="N40" s="37">
        <f>H40*G40</f>
        <v>2364252.88</v>
      </c>
      <c r="O40" s="37">
        <v>0</v>
      </c>
      <c r="P40" s="37">
        <f>O40+N40</f>
        <v>2364252.88</v>
      </c>
      <c r="Q40" s="37">
        <v>2047773</v>
      </c>
      <c r="R40" s="37">
        <f t="shared" si="4"/>
        <v>608851</v>
      </c>
      <c r="S40" s="39" t="s">
        <v>86</v>
      </c>
      <c r="T40" s="2"/>
      <c r="U40" s="2"/>
      <c r="V40" s="2"/>
      <c r="W40" s="4">
        <f>22724+281701</f>
        <v>304425</v>
      </c>
      <c r="X40" s="3">
        <f>22724+281702</f>
        <v>304426</v>
      </c>
      <c r="Y40" s="1">
        <f t="shared" si="9"/>
        <v>608851</v>
      </c>
      <c r="AA40" s="1">
        <f t="shared" si="6"/>
        <v>2047773</v>
      </c>
    </row>
    <row r="41" spans="1:67" s="6" customFormat="1" ht="17.100000000000001" customHeight="1" x14ac:dyDescent="0.2">
      <c r="A41" s="40" t="s">
        <v>34</v>
      </c>
      <c r="B41" s="44" t="s">
        <v>62</v>
      </c>
      <c r="C41" s="44" t="s">
        <v>62</v>
      </c>
      <c r="D41" s="44" t="s">
        <v>62</v>
      </c>
      <c r="E41" s="37">
        <f>5275700+5873400</f>
        <v>11149100</v>
      </c>
      <c r="F41" s="41" t="s">
        <v>21</v>
      </c>
      <c r="G41" s="38">
        <v>1.6539999999999999E-2</v>
      </c>
      <c r="H41" s="37">
        <f>2473300*0.5</f>
        <v>1236650</v>
      </c>
      <c r="I41" s="37">
        <f>3528400*0.5</f>
        <v>1764200</v>
      </c>
      <c r="J41" s="37">
        <f t="shared" si="0"/>
        <v>3000850</v>
      </c>
      <c r="K41" s="37">
        <f>H41*G41</f>
        <v>20454.190999999999</v>
      </c>
      <c r="L41" s="37">
        <f>I41*G41</f>
        <v>29179.867999999999</v>
      </c>
      <c r="M41" s="37">
        <f t="shared" si="3"/>
        <v>49634.058999999994</v>
      </c>
      <c r="N41" s="37">
        <f>H41*G41</f>
        <v>20454.190999999999</v>
      </c>
      <c r="O41" s="37">
        <f>I41*G41</f>
        <v>29179.867999999999</v>
      </c>
      <c r="P41" s="37">
        <f>N41+O41</f>
        <v>49634.058999999994</v>
      </c>
      <c r="Q41" s="37">
        <f>14795.1+13151.2</f>
        <v>27946.300000000003</v>
      </c>
      <c r="R41" s="37">
        <f t="shared" si="4"/>
        <v>20454.190999999999</v>
      </c>
      <c r="S41" s="39" t="s">
        <v>106</v>
      </c>
      <c r="T41" s="2"/>
      <c r="U41" s="2"/>
      <c r="V41" s="2"/>
      <c r="W41" s="4">
        <v>29657</v>
      </c>
      <c r="X41" s="3">
        <v>23964</v>
      </c>
      <c r="Y41" s="1">
        <f t="shared" si="9"/>
        <v>53621</v>
      </c>
      <c r="AA41" s="1">
        <f t="shared" si="6"/>
        <v>20454.190999999999</v>
      </c>
    </row>
    <row r="42" spans="1:67" s="6" customFormat="1" ht="15" x14ac:dyDescent="0.2">
      <c r="A42" s="40" t="s">
        <v>100</v>
      </c>
      <c r="B42" s="44"/>
      <c r="C42" s="44"/>
      <c r="D42" s="44"/>
      <c r="E42" s="37">
        <f>3109100+134858</f>
        <v>3243958</v>
      </c>
      <c r="F42" s="41" t="s">
        <v>89</v>
      </c>
      <c r="G42" s="38">
        <v>1.5699999999999999E-2</v>
      </c>
      <c r="H42" s="37">
        <f>134858/2</f>
        <v>67429</v>
      </c>
      <c r="I42" s="37">
        <f>2987100*0.5</f>
        <v>1493550</v>
      </c>
      <c r="J42" s="37">
        <f t="shared" si="0"/>
        <v>1560979</v>
      </c>
      <c r="K42" s="37"/>
      <c r="L42" s="37"/>
      <c r="M42" s="37"/>
      <c r="N42" s="37">
        <f>134858*0.49*G42</f>
        <v>1037.4625939999999</v>
      </c>
      <c r="O42" s="37">
        <f>2987100*0.49*G42</f>
        <v>22979.760299999998</v>
      </c>
      <c r="P42" s="37">
        <f>N42+O42</f>
        <v>24017.222893999999</v>
      </c>
      <c r="Q42" s="37">
        <v>1943.1</v>
      </c>
      <c r="R42" s="37">
        <f t="shared" si="4"/>
        <v>960</v>
      </c>
      <c r="S42" s="48" t="s">
        <v>111</v>
      </c>
      <c r="W42" s="4">
        <v>480</v>
      </c>
      <c r="X42" s="3">
        <v>480</v>
      </c>
      <c r="Y42" s="1">
        <f t="shared" si="9"/>
        <v>960</v>
      </c>
      <c r="AA42" s="1">
        <f t="shared" si="6"/>
        <v>1037.4625939999999</v>
      </c>
    </row>
    <row r="43" spans="1:67" ht="39.950000000000003" customHeight="1" x14ac:dyDescent="0.5">
      <c r="C43" s="2" t="s">
        <v>62</v>
      </c>
      <c r="D43" s="2" t="s">
        <v>62</v>
      </c>
      <c r="K43" s="2">
        <f>H43*G43</f>
        <v>0</v>
      </c>
      <c r="L43" s="2">
        <f>I43*G43</f>
        <v>0</v>
      </c>
      <c r="M43" s="2">
        <f>J43*G43</f>
        <v>0</v>
      </c>
      <c r="Q43" s="56" t="s">
        <v>132</v>
      </c>
      <c r="R43" s="57">
        <f>SUM(R10:R42)</f>
        <v>4882798.1098391367</v>
      </c>
      <c r="W43" s="4"/>
      <c r="X43" s="3"/>
      <c r="Y43" s="1"/>
      <c r="AA43" s="1">
        <f t="shared" si="6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7" ht="15" x14ac:dyDescent="0.2">
      <c r="W44" s="4"/>
      <c r="X44" s="3"/>
      <c r="Y44" s="1"/>
      <c r="AA44" s="1">
        <f t="shared" si="6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7" ht="15" x14ac:dyDescent="0.2">
      <c r="W45" s="4"/>
      <c r="X45" s="3"/>
      <c r="Y45" s="1"/>
      <c r="Z45" s="6"/>
      <c r="AA45" s="1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7" ht="15" x14ac:dyDescent="0.2">
      <c r="W46" s="4"/>
      <c r="X46" s="3"/>
      <c r="Y46" s="1"/>
      <c r="Z46" s="35"/>
      <c r="AA46" s="1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7" ht="15" x14ac:dyDescent="0.2">
      <c r="W47" s="4"/>
      <c r="X47" s="3"/>
      <c r="Y47" s="1"/>
      <c r="Z47" s="6"/>
      <c r="AA47" s="1">
        <f>IF(Q47&lt;N47,Q47,N47)</f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7" ht="15" x14ac:dyDescent="0.2">
      <c r="W48" s="4"/>
      <c r="X48" s="3"/>
      <c r="Y48" s="1"/>
      <c r="Z48" s="6"/>
      <c r="AA48" s="1">
        <f>IF(Q48&lt;N48,Q48,N48)</f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8" ht="15" x14ac:dyDescent="0.2">
      <c r="W49" s="4"/>
      <c r="X49" s="3"/>
      <c r="Y49" s="1"/>
      <c r="AA49" s="1">
        <f>IF(Q49&lt;N49,Q49,N49)</f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8" ht="15" x14ac:dyDescent="0.2">
      <c r="W50" s="4"/>
      <c r="X50" s="3"/>
      <c r="Y50" s="1"/>
      <c r="AA50" s="1">
        <f>IF(Q50&lt;N50,Q50,N50)</f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8" ht="15" x14ac:dyDescent="0.2">
      <c r="W51" s="4"/>
      <c r="X51" s="3"/>
      <c r="Y51" s="1"/>
      <c r="AA51" s="1">
        <f>IF(Q51&lt;N51,Q51,N51)</f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8" ht="18" x14ac:dyDescent="0.25">
      <c r="A52" s="40" t="s">
        <v>27</v>
      </c>
      <c r="B52" s="44" t="s">
        <v>62</v>
      </c>
      <c r="C52" s="44" t="s">
        <v>62</v>
      </c>
      <c r="D52" s="44" t="s">
        <v>62</v>
      </c>
      <c r="E52" s="37">
        <f>4227000+5700200+4926300</f>
        <v>14853500</v>
      </c>
      <c r="F52" s="41" t="s">
        <v>57</v>
      </c>
      <c r="G52" s="38">
        <v>1.7149999999999999E-2</v>
      </c>
      <c r="H52" s="37">
        <v>3354630.88</v>
      </c>
      <c r="I52" s="37">
        <v>2878293.28</v>
      </c>
      <c r="J52" s="37">
        <f t="shared" ref="J52:J57" si="10">H52+I52</f>
        <v>6232924.1600000001</v>
      </c>
      <c r="K52" s="37">
        <f>H52*G52</f>
        <v>57531.919591999991</v>
      </c>
      <c r="L52" s="37">
        <f>I52*G52</f>
        <v>49362.729751999992</v>
      </c>
      <c r="M52" s="37">
        <f>J52*G52</f>
        <v>106894.64934399999</v>
      </c>
      <c r="N52" s="37">
        <f>H52*G52</f>
        <v>57531.919591999991</v>
      </c>
      <c r="O52" s="37">
        <f t="shared" ref="O52:O57" si="11">I52*G52</f>
        <v>49362.729751999992</v>
      </c>
      <c r="P52" s="37">
        <f>N52+O52</f>
        <v>106894.64934399998</v>
      </c>
      <c r="Q52" s="37">
        <f>41607+36984</f>
        <v>78591</v>
      </c>
      <c r="R52" s="37">
        <f t="shared" ref="R52:R57" si="12">IF(Y52&lt;AA52, Y52, AA52)</f>
        <v>0</v>
      </c>
      <c r="S52" s="39" t="s">
        <v>129</v>
      </c>
      <c r="W52" s="4">
        <f>153094-72100</f>
        <v>80994</v>
      </c>
      <c r="X52" s="3">
        <v>72100</v>
      </c>
      <c r="Y52" s="1">
        <f>W52+X52</f>
        <v>153094</v>
      </c>
      <c r="Z52" s="6"/>
      <c r="AA52" s="1">
        <v>0</v>
      </c>
      <c r="AB52" s="6"/>
      <c r="AC52" s="6"/>
      <c r="AD52" s="6"/>
      <c r="AE52" s="6"/>
      <c r="AF52" s="6"/>
      <c r="AG52" s="6"/>
      <c r="AH52" s="6"/>
      <c r="AI52" s="14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</row>
    <row r="53" spans="1:68" ht="15" x14ac:dyDescent="0.2">
      <c r="A53" s="40" t="s">
        <v>33</v>
      </c>
      <c r="B53" s="44" t="s">
        <v>62</v>
      </c>
      <c r="C53" s="44" t="s">
        <v>62</v>
      </c>
      <c r="D53" s="44" t="s">
        <v>62</v>
      </c>
      <c r="E53" s="37">
        <f>19265100+50354800+2373100+51000+14654900+37100+69800+20300+37800+12286300+4475300+11112200+9864100+9902400</f>
        <v>134504200</v>
      </c>
      <c r="F53" s="41" t="s">
        <v>19</v>
      </c>
      <c r="G53" s="38">
        <v>1.959E-2</v>
      </c>
      <c r="H53" s="37">
        <f>17624180</f>
        <v>17624180</v>
      </c>
      <c r="I53" s="37">
        <v>6887965</v>
      </c>
      <c r="J53" s="37">
        <f t="shared" si="10"/>
        <v>24512145</v>
      </c>
      <c r="K53" s="37">
        <f>H53*G53</f>
        <v>345257.6862</v>
      </c>
      <c r="L53" s="37">
        <f>I53*G53</f>
        <v>134935.23434999998</v>
      </c>
      <c r="M53" s="37">
        <f>J53*G53</f>
        <v>480192.92054999998</v>
      </c>
      <c r="N53" s="37">
        <f>H53*G53</f>
        <v>345257.6862</v>
      </c>
      <c r="O53" s="37">
        <f t="shared" si="11"/>
        <v>134935.23434999998</v>
      </c>
      <c r="P53" s="37">
        <f>N53+O53</f>
        <v>480192.92054999998</v>
      </c>
      <c r="Q53" s="37">
        <f>880448.4</f>
        <v>880448.4</v>
      </c>
      <c r="R53" s="37">
        <f t="shared" si="12"/>
        <v>0</v>
      </c>
      <c r="S53" s="39" t="s">
        <v>91</v>
      </c>
      <c r="W53" s="4">
        <v>880448</v>
      </c>
      <c r="X53" s="3">
        <v>0</v>
      </c>
      <c r="Y53" s="1">
        <f>W53+X53</f>
        <v>880448</v>
      </c>
      <c r="Z53" s="6"/>
      <c r="AA53" s="1"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</row>
    <row r="54" spans="1:68" ht="15" x14ac:dyDescent="0.2">
      <c r="A54" s="40" t="s">
        <v>92</v>
      </c>
      <c r="B54" s="44"/>
      <c r="C54" s="44"/>
      <c r="D54" s="44"/>
      <c r="E54" s="37">
        <f>3529500+5865800+2426400</f>
        <v>11821700</v>
      </c>
      <c r="F54" s="41" t="s">
        <v>10</v>
      </c>
      <c r="G54" s="38">
        <v>1.899E-2</v>
      </c>
      <c r="H54" s="37">
        <f>1523200+2426400</f>
        <v>3949600</v>
      </c>
      <c r="I54" s="37">
        <v>2105900</v>
      </c>
      <c r="J54" s="37">
        <f t="shared" si="10"/>
        <v>6055500</v>
      </c>
      <c r="K54" s="37"/>
      <c r="L54" s="37"/>
      <c r="M54" s="37"/>
      <c r="N54" s="37">
        <v>0</v>
      </c>
      <c r="O54" s="37">
        <f t="shared" si="11"/>
        <v>39991.040999999997</v>
      </c>
      <c r="P54" s="37">
        <f>N54+O54</f>
        <v>39991.040999999997</v>
      </c>
      <c r="Q54" s="37">
        <v>0</v>
      </c>
      <c r="R54" s="37">
        <f t="shared" si="12"/>
        <v>0</v>
      </c>
      <c r="S54" s="48" t="s">
        <v>109</v>
      </c>
      <c r="T54" s="6"/>
      <c r="U54" s="6"/>
      <c r="V54" s="6"/>
      <c r="W54" s="42">
        <v>0</v>
      </c>
      <c r="X54" s="43">
        <v>75219</v>
      </c>
      <c r="Y54" s="37">
        <f>W54+X54</f>
        <v>75219</v>
      </c>
      <c r="Z54" s="6"/>
      <c r="AA54" s="1">
        <f>IF(Q54&lt;N54,Q54,N54)</f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</row>
    <row r="55" spans="1:68" ht="15" x14ac:dyDescent="0.2">
      <c r="A55" s="40" t="s">
        <v>101</v>
      </c>
      <c r="B55" s="44"/>
      <c r="C55" s="44"/>
      <c r="D55" s="44"/>
      <c r="E55" s="37">
        <f>10909800+107500000+85018500+479705500</f>
        <v>683133800</v>
      </c>
      <c r="F55" s="41" t="s">
        <v>44</v>
      </c>
      <c r="G55" s="38">
        <v>1.6199999999999999E-2</v>
      </c>
      <c r="H55" s="37">
        <v>85018500</v>
      </c>
      <c r="I55" s="37">
        <v>2140300</v>
      </c>
      <c r="J55" s="37">
        <f t="shared" si="10"/>
        <v>87158800</v>
      </c>
      <c r="K55" s="37"/>
      <c r="L55" s="37"/>
      <c r="M55" s="37"/>
      <c r="N55" s="37">
        <v>0</v>
      </c>
      <c r="O55" s="37">
        <f t="shared" si="11"/>
        <v>34672.86</v>
      </c>
      <c r="P55" s="37">
        <f>N55+O55</f>
        <v>34672.86</v>
      </c>
      <c r="Q55" s="37">
        <v>1504964</v>
      </c>
      <c r="R55" s="37">
        <f t="shared" si="12"/>
        <v>0</v>
      </c>
      <c r="S55" s="49" t="s">
        <v>125</v>
      </c>
      <c r="T55" s="6"/>
      <c r="U55" s="6"/>
      <c r="V55" s="6"/>
      <c r="W55" s="4">
        <v>885273</v>
      </c>
      <c r="X55" s="3">
        <v>779362</v>
      </c>
      <c r="Y55" s="1">
        <f>W55+X55</f>
        <v>1664635</v>
      </c>
      <c r="Z55" s="6"/>
      <c r="AA55" s="1">
        <f>IF(Q55&lt;N55,Q55,N55)</f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</row>
    <row r="56" spans="1:68" ht="15" x14ac:dyDescent="0.2">
      <c r="A56" s="40" t="s">
        <v>104</v>
      </c>
      <c r="B56" s="44" t="s">
        <v>62</v>
      </c>
      <c r="C56" s="44" t="s">
        <v>62</v>
      </c>
      <c r="D56" s="40" t="s">
        <v>69</v>
      </c>
      <c r="E56" s="37">
        <f>2653800+76000+286900</f>
        <v>3016700</v>
      </c>
      <c r="F56" s="41" t="s">
        <v>10</v>
      </c>
      <c r="G56" s="38">
        <v>1.899E-2</v>
      </c>
      <c r="H56" s="37">
        <f>286900*0.3</f>
        <v>86070</v>
      </c>
      <c r="I56" s="37">
        <f>2603600*0.3</f>
        <v>781080</v>
      </c>
      <c r="J56" s="37">
        <f t="shared" si="10"/>
        <v>867150</v>
      </c>
      <c r="K56" s="37">
        <f>H56*G56</f>
        <v>1634.4693</v>
      </c>
      <c r="L56" s="37">
        <f>I56*G56</f>
        <v>14832.709199999999</v>
      </c>
      <c r="M56" s="37">
        <f>J56*G56</f>
        <v>16467.178499999998</v>
      </c>
      <c r="N56" s="37">
        <f>H56*G56</f>
        <v>1634.4693</v>
      </c>
      <c r="O56" s="37">
        <f t="shared" si="11"/>
        <v>14832.709199999999</v>
      </c>
      <c r="P56" s="37">
        <f>N56+O56</f>
        <v>16467.178499999998</v>
      </c>
      <c r="Q56" s="37">
        <v>0</v>
      </c>
      <c r="R56" s="37">
        <f t="shared" si="12"/>
        <v>0</v>
      </c>
      <c r="S56" s="39" t="s">
        <v>108</v>
      </c>
      <c r="W56" s="4" t="s">
        <v>131</v>
      </c>
      <c r="X56" s="4" t="s">
        <v>131</v>
      </c>
      <c r="Y56" s="4" t="s">
        <v>131</v>
      </c>
      <c r="Z56" s="35"/>
      <c r="AA56" s="1">
        <f>IF(Q56&lt;N56,Q56,N56)</f>
        <v>0</v>
      </c>
      <c r="AB56" s="34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8" ht="15" x14ac:dyDescent="0.2">
      <c r="A57" s="50" t="s">
        <v>71</v>
      </c>
      <c r="B57" s="55"/>
      <c r="C57" s="44" t="s">
        <v>62</v>
      </c>
      <c r="D57" s="40"/>
      <c r="E57" s="37">
        <f>4026100+83840+4187300+563600+81700+386900+1114600</f>
        <v>10444040</v>
      </c>
      <c r="F57" s="51" t="s">
        <v>19</v>
      </c>
      <c r="G57" s="38">
        <v>1.959E-2</v>
      </c>
      <c r="H57" s="43">
        <f>83840*0.4</f>
        <v>33536</v>
      </c>
      <c r="I57" s="43">
        <f>3660100*0.4</f>
        <v>1464040</v>
      </c>
      <c r="J57" s="37">
        <f t="shared" si="10"/>
        <v>1497576</v>
      </c>
      <c r="K57" s="37">
        <f>H57*G57</f>
        <v>656.97023999999999</v>
      </c>
      <c r="L57" s="37">
        <f>I57*G57</f>
        <v>28680.543600000001</v>
      </c>
      <c r="M57" s="37">
        <f>J57*G57</f>
        <v>29337.51384</v>
      </c>
      <c r="N57" s="37">
        <f>H57*G57</f>
        <v>656.97023999999999</v>
      </c>
      <c r="O57" s="37">
        <f t="shared" si="11"/>
        <v>28680.543600000001</v>
      </c>
      <c r="P57" s="37">
        <f>O57+N57</f>
        <v>29337.51384</v>
      </c>
      <c r="Q57" s="37">
        <v>0</v>
      </c>
      <c r="R57" s="37">
        <f t="shared" si="12"/>
        <v>0</v>
      </c>
      <c r="S57" s="39" t="s">
        <v>128</v>
      </c>
      <c r="W57" s="4" t="s">
        <v>131</v>
      </c>
      <c r="X57" s="4" t="s">
        <v>131</v>
      </c>
      <c r="Y57" s="4" t="s">
        <v>131</v>
      </c>
      <c r="Z57" s="32"/>
      <c r="AA57" s="1">
        <f>IF(Q57&lt;N57,Q57,N57)</f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8" ht="15" x14ac:dyDescent="0.2">
      <c r="W58" s="9"/>
      <c r="X58" s="9"/>
      <c r="Y58" s="9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8" ht="15" x14ac:dyDescent="0.2">
      <c r="W59" s="9"/>
      <c r="X59" s="6"/>
      <c r="Y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8" s="8" customFormat="1" ht="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4"/>
      <c r="X60" s="3"/>
      <c r="Y60" s="1"/>
      <c r="Z60" s="6"/>
      <c r="AA60" s="1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7"/>
    </row>
    <row r="61" spans="1:68" s="8" customFormat="1" ht="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4"/>
      <c r="X61" s="3"/>
      <c r="Y61" s="1"/>
      <c r="Z61" s="6"/>
      <c r="AA61" s="1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7"/>
    </row>
    <row r="62" spans="1:68" s="8" customFormat="1" ht="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4"/>
      <c r="X62" s="3"/>
      <c r="Y62" s="1"/>
      <c r="Z62" s="6"/>
      <c r="AA62" s="1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7"/>
    </row>
    <row r="63" spans="1:68" s="8" customFormat="1" ht="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4"/>
      <c r="X63" s="3"/>
      <c r="Y63" s="1"/>
      <c r="Z63" s="6"/>
      <c r="AA63" s="1"/>
      <c r="AB63" s="6"/>
      <c r="AC63" s="6"/>
      <c r="AD63" s="6"/>
      <c r="AE63" s="6"/>
      <c r="AF63" s="6"/>
      <c r="AG63" s="6"/>
      <c r="AH63" s="6"/>
      <c r="AI63" s="14">
        <f>151288+265250</f>
        <v>416538</v>
      </c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7"/>
    </row>
    <row r="64" spans="1:68" s="8" customFormat="1" ht="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4"/>
      <c r="X64" s="3"/>
      <c r="Y64" s="1"/>
      <c r="Z64" s="6"/>
      <c r="AA64" s="1"/>
      <c r="AB64" s="6"/>
      <c r="AC64" s="6"/>
      <c r="AD64" s="6"/>
      <c r="AE64" s="6"/>
      <c r="AF64" s="6"/>
      <c r="AG64" s="6"/>
      <c r="AH64" s="6"/>
      <c r="AI64" s="14">
        <f>151288/416538</f>
        <v>0.36320335719670233</v>
      </c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7"/>
    </row>
    <row r="65" spans="1:68" s="8" customFormat="1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5"/>
      <c r="W65" s="4"/>
      <c r="X65" s="3"/>
      <c r="Y65" s="1"/>
      <c r="Z65" s="6"/>
      <c r="AA65" s="1"/>
      <c r="AB65" s="6"/>
      <c r="AC65" s="6"/>
      <c r="AD65" s="6"/>
      <c r="AE65" s="6"/>
      <c r="AF65" s="6"/>
      <c r="AG65" s="6"/>
      <c r="AH65" s="6"/>
      <c r="AI65" s="6">
        <f>AI63+AI64</f>
        <v>416538.36320335721</v>
      </c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7"/>
    </row>
    <row r="66" spans="1:68" s="8" customFormat="1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5"/>
      <c r="T66" s="2"/>
      <c r="U66" s="2"/>
      <c r="V66" s="5"/>
      <c r="W66" s="4"/>
      <c r="X66" s="3"/>
      <c r="Y66" s="1"/>
      <c r="Z66" s="6"/>
      <c r="AA66" s="1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7"/>
    </row>
    <row r="67" spans="1:68" s="8" customFormat="1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4"/>
      <c r="X67" s="3"/>
      <c r="Y67" s="1"/>
      <c r="Z67" s="6"/>
      <c r="AA67" s="1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7"/>
    </row>
    <row r="68" spans="1:68" s="8" customFormat="1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"/>
      <c r="X68" s="3"/>
      <c r="Y68" s="1"/>
      <c r="Z68" s="6"/>
      <c r="AA68" s="1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7"/>
    </row>
    <row r="69" spans="1:68" s="8" customFormat="1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4"/>
      <c r="X69" s="3"/>
      <c r="Y69" s="1"/>
      <c r="Z69" s="6"/>
      <c r="AA69" s="1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7"/>
    </row>
    <row r="70" spans="1:68" ht="15" x14ac:dyDescent="0.2">
      <c r="W70" s="4"/>
      <c r="X70" s="3"/>
      <c r="Y70" s="1"/>
      <c r="Z70" s="6"/>
      <c r="AA70" s="1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</row>
    <row r="71" spans="1:68" ht="15" x14ac:dyDescent="0.2">
      <c r="W71" s="4"/>
      <c r="X71" s="3"/>
      <c r="Y71" s="1"/>
      <c r="AA71" s="1"/>
    </row>
    <row r="72" spans="1:68" ht="24.95" customHeight="1" x14ac:dyDescent="0.2">
      <c r="S72" s="39"/>
      <c r="W72" s="4"/>
      <c r="X72" s="3"/>
      <c r="Y72" s="1"/>
      <c r="Z72" s="6"/>
      <c r="AA72" s="1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8" ht="15" x14ac:dyDescent="0.2">
      <c r="W73" s="4"/>
      <c r="X73" s="3"/>
      <c r="Y73" s="1"/>
      <c r="AA73" s="1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8" ht="15" x14ac:dyDescent="0.2">
      <c r="W74" s="4"/>
      <c r="X74" s="3"/>
      <c r="Y74" s="1"/>
      <c r="Z74" s="6"/>
      <c r="AA74" s="1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</row>
  </sheetData>
  <mergeCells count="15">
    <mergeCell ref="F1:P1"/>
    <mergeCell ref="F2:P2"/>
    <mergeCell ref="A4:A6"/>
    <mergeCell ref="E4:E6"/>
    <mergeCell ref="F4:F6"/>
    <mergeCell ref="G4:G6"/>
    <mergeCell ref="H4:J4"/>
    <mergeCell ref="N4:P4"/>
    <mergeCell ref="R4:R6"/>
    <mergeCell ref="H5:J5"/>
    <mergeCell ref="N5:P5"/>
    <mergeCell ref="W3:Y5"/>
    <mergeCell ref="Q4:Q6"/>
    <mergeCell ref="K4:M4"/>
    <mergeCell ref="K5:M5"/>
  </mergeCells>
  <phoneticPr fontId="4" type="noConversion"/>
  <printOptions horizontalCentered="1"/>
  <pageMargins left="0" right="0" top="0.5" bottom="0.25" header="0.5" footer="0.5"/>
  <pageSetup paperSize="5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Report</vt:lpstr>
      <vt:lpstr>'2012 Report'!Print_Area</vt:lpstr>
    </vt:vector>
  </TitlesOfParts>
  <Company>State of Maine, DAFS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nichole.m.stenberg</dc:creator>
  <cp:lastModifiedBy>Bill Brunelle</cp:lastModifiedBy>
  <cp:lastPrinted>2015-03-30T13:34:38Z</cp:lastPrinted>
  <dcterms:created xsi:type="dcterms:W3CDTF">2007-12-13T20:41:32Z</dcterms:created>
  <dcterms:modified xsi:type="dcterms:W3CDTF">2015-07-22T19:21:04Z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