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070" tabRatio="791" firstSheet="1" activeTab="1"/>
  </bookViews>
  <sheets>
    <sheet name="Calculation Worksheet" sheetId="1" r:id="rId1"/>
    <sheet name="2-Parent Calculation Worksheet" sheetId="2" r:id="rId2"/>
    <sheet name="Impact template Full Family" sheetId="3" r:id="rId3"/>
    <sheet name="Impact template WSB" sheetId="4" r:id="rId4"/>
    <sheet name="Excess MOE Worksheet" sheetId="5" r:id="rId5"/>
    <sheet name="Impact Methodology" sheetId="6" r:id="rId6"/>
  </sheets>
  <definedNames>
    <definedName name="_xlnm.Print_Area" localSheetId="1">'2-Parent Calculation Worksheet'!$A$1:$F$28</definedName>
    <definedName name="_xlnm.Print_Area" localSheetId="0">'Calculation Worksheet'!$A$1:$F$28</definedName>
    <definedName name="_xlnm.Print_Area" localSheetId="4">'Excess MOE Worksheet'!$A$1:$F$32</definedName>
    <definedName name="_xlnm.Print_Area" localSheetId="2">'Impact template Full Family'!$A$1:$N$23</definedName>
    <definedName name="_xlnm.Print_Area" localSheetId="3">'Impact template WSB'!$A$1:$N$23</definedName>
  </definedNames>
  <calcPr fullCalcOnLoad="1"/>
</workbook>
</file>

<file path=xl/sharedStrings.xml><?xml version="1.0" encoding="utf-8"?>
<sst xmlns="http://schemas.openxmlformats.org/spreadsheetml/2006/main" count="163" uniqueCount="103">
  <si>
    <t xml:space="preserve">Fiscal Year to which credit applies:         </t>
  </si>
  <si>
    <t>Impact of All Changes</t>
  </si>
  <si>
    <t xml:space="preserve">Caseload Reduction Calculation </t>
  </si>
  <si>
    <t>Decline – Net Impact</t>
  </si>
  <si>
    <t>Caseload Reduction Credit =</t>
  </si>
  <si>
    <t>Net Impact</t>
  </si>
  <si>
    <t>Nov</t>
  </si>
  <si>
    <t>Dec</t>
  </si>
  <si>
    <t xml:space="preserve">Feb </t>
  </si>
  <si>
    <t>Mar</t>
  </si>
  <si>
    <t>Apr</t>
  </si>
  <si>
    <t>May</t>
  </si>
  <si>
    <t>Jun</t>
  </si>
  <si>
    <t>Jul</t>
  </si>
  <si>
    <t>Aug</t>
  </si>
  <si>
    <t>Sep</t>
  </si>
  <si>
    <t>Time of Closure</t>
  </si>
  <si>
    <t>Grand</t>
  </si>
  <si>
    <t>Total</t>
  </si>
  <si>
    <t>Prior years carryover</t>
  </si>
  <si>
    <t>Oct</t>
  </si>
  <si>
    <t>Jan</t>
  </si>
  <si>
    <t>PART 2 – Estimate of Caseload Reduction Credit</t>
  </si>
  <si>
    <t>Total FY 2005 Caseload</t>
  </si>
  <si>
    <t>FY 2005 TANF Caseload</t>
  </si>
  <si>
    <t>FY 2005 SSP Caseload</t>
  </si>
  <si>
    <t>Excess MOE Calculation Worksheet</t>
  </si>
  <si>
    <t>Caseload Data</t>
  </si>
  <si>
    <t>Expenditure Data</t>
  </si>
  <si>
    <t>Total Expenditures</t>
  </si>
  <si>
    <t>Total Expenditures (Federal + MOE)</t>
  </si>
  <si>
    <t>Assistance Expenditures</t>
  </si>
  <si>
    <t>Percentage of Expenditures on Assistance</t>
  </si>
  <si>
    <t>Expenditures Per Case</t>
  </si>
  <si>
    <t>Average Expenditures per Case</t>
  </si>
  <si>
    <t>Average Expenditures per Case on Assistance</t>
  </si>
  <si>
    <t>MOE and Excess MOE</t>
  </si>
  <si>
    <t>Required MOE (80% or 75%)</t>
  </si>
  <si>
    <t>Excess MOE Expenditures</t>
  </si>
  <si>
    <t>Excess MOE Expenditures on Assistance</t>
  </si>
  <si>
    <t>Assistance Cases Funded by Excess MOE</t>
  </si>
  <si>
    <t xml:space="preserve">Adjusted Caseload Data </t>
  </si>
  <si>
    <t>Caseload Decline</t>
  </si>
  <si>
    <t>Total Expenditures on Assistance (Federal + MOE)</t>
  </si>
  <si>
    <t>2-Parent Caseload Data</t>
  </si>
  <si>
    <t>FY 2005 2-p TANF Caseload</t>
  </si>
  <si>
    <t>FY 2005 2-p SSP Caseload</t>
  </si>
  <si>
    <t>FY 2005 TANF 2-Parent Caseload</t>
  </si>
  <si>
    <t>FY 2005 SSP 2-Parent Caseload</t>
  </si>
  <si>
    <t>2-Parent Caseload Reduction Credit =</t>
  </si>
  <si>
    <t>PART 2 – Estimate of Caseload Reduction Credit -- 2-Parent Caseload</t>
  </si>
  <si>
    <t>2-Parent Assistance Cases Funded by Excess MOE</t>
  </si>
  <si>
    <t>Date of Completion:</t>
  </si>
  <si>
    <t xml:space="preserve">Date of Completion:         </t>
  </si>
  <si>
    <t>State - Maine</t>
  </si>
  <si>
    <t>Full Family Sanction</t>
  </si>
  <si>
    <t xml:space="preserve">Full Family Sanction </t>
  </si>
  <si>
    <t>Worker Supplement Benefit</t>
  </si>
  <si>
    <t xml:space="preserve">create table JP_Sanc as </t>
  </si>
  <si>
    <t xml:space="preserve">select distinct x.case_id, reference_start_dt                </t>
  </si>
  <si>
    <t xml:space="preserve">from case x, case_status y, eligibility_decision e, case_pend_close_reason cp                                   </t>
  </si>
  <si>
    <t xml:space="preserve">where x.case_id = y.case_id                               </t>
  </si>
  <si>
    <t xml:space="preserve">and x.case_id = e.case_id         </t>
  </si>
  <si>
    <t xml:space="preserve">and e.eligibility_decision_id = cp.eligibility_decision_id      </t>
  </si>
  <si>
    <t xml:space="preserve">and case_status_type_cd = 'O'     </t>
  </si>
  <si>
    <t xml:space="preserve">and program_type_cd in ('CTTF','CTPS')        </t>
  </si>
  <si>
    <t xml:space="preserve">and decision_type_cd = 'CL'       </t>
  </si>
  <si>
    <t xml:space="preserve">and pend_cls_reason_type_cd in ('FC256','FC257')      </t>
  </si>
  <si>
    <t>using a rate to get the case counts.</t>
  </si>
  <si>
    <t>We continued this process for the remaining months.</t>
  </si>
  <si>
    <t>WSB</t>
  </si>
  <si>
    <t>Impact month = July 2012</t>
  </si>
  <si>
    <t xml:space="preserve">create table JP_WSB as    </t>
  </si>
  <si>
    <t>select distinct x.case_id</t>
  </si>
  <si>
    <t xml:space="preserve">from case x, case_status y, budget b    </t>
  </si>
  <si>
    <t xml:space="preserve">where x.case_id = y.case_id    </t>
  </si>
  <si>
    <t xml:space="preserve">and x.case_id = b.case_id    </t>
  </si>
  <si>
    <t xml:space="preserve">and program_type_cd = 'XWIP'     </t>
  </si>
  <si>
    <t xml:space="preserve">and nvl(y.end_dt,'31-dec-9999') &gt; y.start_dt    </t>
  </si>
  <si>
    <t xml:space="preserve">and budget_type_cd = 'I'    </t>
  </si>
  <si>
    <t xml:space="preserve">and budget_status_type_cd = 'A'    </t>
  </si>
  <si>
    <t xml:space="preserve">and period_type_cd = 'M'    </t>
  </si>
  <si>
    <t xml:space="preserve">and nvl(b.end_dt,'31-dec-9999') &gt; b.start_dt;     </t>
  </si>
  <si>
    <t xml:space="preserve">--  select count(*) from JP_WSB </t>
  </si>
  <si>
    <t>We know some of these cases will remain open for the following months. Therefore we derived the actual counts by running the same code above for</t>
  </si>
  <si>
    <t>count of all cases closed in October specifically due to the Full Family Sanction.  (please see query below if needed)</t>
  </si>
  <si>
    <t xml:space="preserve">and reference_start_dt = '01-Oct-2012'; </t>
  </si>
  <si>
    <t>-- select count(distinct case_id) from JP_Sanc</t>
  </si>
  <si>
    <t>FFY 2012 is the baseline.  Therefore in our eligibilty determination system (ACES) we used SQL code to extract a</t>
  </si>
  <si>
    <t xml:space="preserve">The resulting number was 104 total cases closed, as reported on the Impact Template Full Family tab. </t>
  </si>
  <si>
    <t>Because we know some of that initial population will remained close, we chose to implement a decay rate.  However, we have the exact data instead of</t>
  </si>
  <si>
    <t>Therefore, we used SQL to determine of those closed in FFY 2012, how many of them remained close for October, and how many were new October closings.  (please see query below if needed)</t>
  </si>
  <si>
    <t xml:space="preserve">select count(distinct x.case_id) as cases </t>
  </si>
  <si>
    <t>from JP_Sanc_FY2012 x, JP_Sanc_oct y</t>
  </si>
  <si>
    <t xml:space="preserve">where x.case_id = y.case_id; </t>
  </si>
  <si>
    <t>-- find the what cases are the ones still remaining closed from previous year</t>
  </si>
  <si>
    <t>We know that of the 104 cases, 13 of them were carry-overs from FFY2012.  91 of them were "new" October closings</t>
  </si>
  <si>
    <t>count of all cases opened specifically due to the WSB program.  (please see query below if needed)</t>
  </si>
  <si>
    <t xml:space="preserve">and y.start_dt &lt;=  '31-Oct-2012'       </t>
  </si>
  <si>
    <t xml:space="preserve">and nvl(y.end_dt,'31-dec-9999') &gt;= '01-Oct-2012'    </t>
  </si>
  <si>
    <t xml:space="preserve">and b.start_dt &lt;=  '31-Oct-2012'       </t>
  </si>
  <si>
    <t xml:space="preserve">and nvl(b.end_dt,'31-dec-9999') &gt;= '01-Oct-2012'    </t>
  </si>
  <si>
    <t>each of the proceding months and did a comparison of how many remained open month-to-month.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</si>
</sst>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409]dddd\,\ mmmm\ dd\,\ yyyy"/>
    <numFmt numFmtId="171" formatCode="d\-mmm\-yyyy"/>
    <numFmt numFmtId="172" formatCode="mmm\-yyyy"/>
  </numFmts>
  <fonts count="46">
    <font>
      <sz val="10"/>
      <name val="Arial"/>
      <family val="0"/>
    </font>
    <font>
      <sz val="8"/>
      <name val="Arial"/>
      <family val="0"/>
    </font>
    <font>
      <b/>
      <sz val="11"/>
      <name val="Arial"/>
      <family val="2"/>
    </font>
    <font>
      <u val="single"/>
      <sz val="12"/>
      <name val="Arial"/>
      <family val="2"/>
    </font>
    <font>
      <sz val="12"/>
      <name val="Arial"/>
      <family val="2"/>
    </font>
    <font>
      <b/>
      <sz val="12"/>
      <name val="Arial"/>
      <family val="2"/>
    </font>
    <font>
      <b/>
      <sz val="14"/>
      <name val="Arial"/>
      <family val="2"/>
    </font>
    <font>
      <b/>
      <u val="single"/>
      <sz val="12"/>
      <name val="Arial"/>
      <family val="2"/>
    </font>
    <font>
      <sz val="11"/>
      <name val="Arial"/>
      <family val="0"/>
    </font>
    <font>
      <b/>
      <sz val="9"/>
      <name val="Arial"/>
      <family val="2"/>
    </font>
    <font>
      <b/>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lightUp"/>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horizontal="lef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64" fontId="4" fillId="0" borderId="0" xfId="0" applyNumberFormat="1" applyFont="1" applyBorder="1" applyAlignment="1">
      <alignment horizontal="right"/>
    </xf>
    <xf numFmtId="0" fontId="4" fillId="0" borderId="0" xfId="0" applyFont="1" applyAlignment="1">
      <alignment horizontal="right"/>
    </xf>
    <xf numFmtId="164" fontId="5" fillId="0" borderId="0" xfId="0" applyNumberFormat="1" applyFont="1" applyBorder="1" applyAlignment="1">
      <alignment horizontal="right"/>
    </xf>
    <xf numFmtId="0" fontId="5" fillId="0" borderId="0" xfId="0" applyFont="1" applyAlignment="1">
      <alignment/>
    </xf>
    <xf numFmtId="3" fontId="5" fillId="0" borderId="0" xfId="0" applyNumberFormat="1" applyFont="1" applyAlignment="1">
      <alignment/>
    </xf>
    <xf numFmtId="0" fontId="4" fillId="0" borderId="0" xfId="0" applyFont="1" applyAlignment="1">
      <alignment horizontal="centerContinuous"/>
    </xf>
    <xf numFmtId="0" fontId="5" fillId="0" borderId="10" xfId="55" applyFont="1" applyBorder="1">
      <alignment/>
      <protection/>
    </xf>
    <xf numFmtId="17" fontId="4" fillId="0" borderId="11" xfId="55" applyNumberFormat="1" applyFont="1" applyBorder="1" applyAlignment="1">
      <alignment horizontal="right" vertical="center"/>
      <protection/>
    </xf>
    <xf numFmtId="0" fontId="4" fillId="0" borderId="12" xfId="55" applyFont="1" applyBorder="1" applyAlignment="1">
      <alignment horizontal="right" vertical="center"/>
      <protection/>
    </xf>
    <xf numFmtId="17" fontId="4" fillId="0" borderId="12" xfId="55" applyNumberFormat="1" applyFont="1" applyBorder="1" applyAlignment="1">
      <alignment horizontal="right" vertical="center"/>
      <protection/>
    </xf>
    <xf numFmtId="0" fontId="4" fillId="0" borderId="13" xfId="55" applyFont="1" applyBorder="1" applyAlignment="1">
      <alignment horizontal="right" vertical="center"/>
      <protection/>
    </xf>
    <xf numFmtId="0" fontId="4" fillId="0" borderId="0" xfId="55" applyFont="1" applyBorder="1" applyAlignment="1">
      <alignment horizontal="centerContinuous"/>
      <protection/>
    </xf>
    <xf numFmtId="0" fontId="4" fillId="0" borderId="0" xfId="55" applyFont="1">
      <alignment/>
      <protection/>
    </xf>
    <xf numFmtId="0" fontId="5" fillId="0" borderId="0" xfId="55" applyFont="1" applyBorder="1" applyAlignment="1">
      <alignment horizontal="centerContinuous"/>
      <protection/>
    </xf>
    <xf numFmtId="0" fontId="4" fillId="0" borderId="0" xfId="55" applyFont="1" applyBorder="1" applyAlignment="1">
      <alignment horizontal="centerContinuous" vertical="top"/>
      <protection/>
    </xf>
    <xf numFmtId="0" fontId="4" fillId="0" borderId="14" xfId="55" applyFont="1" applyBorder="1">
      <alignment/>
      <protection/>
    </xf>
    <xf numFmtId="0" fontId="4" fillId="0" borderId="15" xfId="55" applyFont="1" applyBorder="1" applyAlignment="1">
      <alignment horizontal="centerContinuous"/>
      <protection/>
    </xf>
    <xf numFmtId="0" fontId="4" fillId="0" borderId="16" xfId="55" applyFont="1" applyBorder="1" applyAlignment="1">
      <alignment horizontal="centerContinuous"/>
      <protection/>
    </xf>
    <xf numFmtId="0" fontId="4" fillId="0" borderId="14" xfId="55" applyFont="1" applyBorder="1" applyAlignment="1">
      <alignment/>
      <protection/>
    </xf>
    <xf numFmtId="0" fontId="4" fillId="0" borderId="10" xfId="55" applyFont="1" applyBorder="1" applyAlignment="1">
      <alignment vertical="center"/>
      <protection/>
    </xf>
    <xf numFmtId="0" fontId="4" fillId="0" borderId="17" xfId="55" applyFont="1" applyBorder="1" applyAlignment="1">
      <alignment vertical="center"/>
      <protection/>
    </xf>
    <xf numFmtId="0" fontId="4" fillId="0" borderId="0" xfId="55" applyFont="1" applyAlignment="1">
      <alignment vertical="center"/>
      <protection/>
    </xf>
    <xf numFmtId="17" fontId="4" fillId="33" borderId="18" xfId="55" applyNumberFormat="1" applyFont="1" applyFill="1" applyBorder="1" applyAlignment="1">
      <alignment horizontal="right" vertical="center"/>
      <protection/>
    </xf>
    <xf numFmtId="0" fontId="4" fillId="33" borderId="15" xfId="55" applyFont="1" applyFill="1" applyBorder="1" applyAlignment="1">
      <alignment horizontal="right" vertical="center"/>
      <protection/>
    </xf>
    <xf numFmtId="17" fontId="4" fillId="33" borderId="15" xfId="55" applyNumberFormat="1" applyFont="1" applyFill="1" applyBorder="1" applyAlignment="1">
      <alignment horizontal="right" vertical="center"/>
      <protection/>
    </xf>
    <xf numFmtId="0" fontId="4" fillId="33" borderId="16" xfId="55" applyFont="1" applyFill="1" applyBorder="1" applyAlignment="1">
      <alignment horizontal="right" vertical="center"/>
      <protection/>
    </xf>
    <xf numFmtId="17" fontId="4" fillId="0" borderId="14" xfId="55" applyNumberFormat="1" applyFont="1" applyBorder="1" applyAlignment="1">
      <alignment horizontal="left" vertical="center"/>
      <protection/>
    </xf>
    <xf numFmtId="17" fontId="4" fillId="0" borderId="17" xfId="55" applyNumberFormat="1" applyFont="1" applyBorder="1" applyAlignment="1">
      <alignment horizontal="left"/>
      <protection/>
    </xf>
    <xf numFmtId="0" fontId="4" fillId="0" borderId="17" xfId="55" applyFont="1" applyBorder="1">
      <alignment/>
      <protection/>
    </xf>
    <xf numFmtId="17" fontId="4" fillId="0" borderId="17" xfId="55" applyNumberFormat="1" applyFont="1" applyBorder="1">
      <alignment/>
      <protection/>
    </xf>
    <xf numFmtId="0" fontId="4" fillId="0" borderId="17" xfId="55" applyFont="1" applyBorder="1" applyAlignment="1">
      <alignment horizontal="right"/>
      <protection/>
    </xf>
    <xf numFmtId="0" fontId="4" fillId="0" borderId="10" xfId="55" applyFont="1" applyBorder="1" applyAlignment="1">
      <alignment horizontal="right"/>
      <protection/>
    </xf>
    <xf numFmtId="0" fontId="4" fillId="0" borderId="10" xfId="55" applyFont="1" applyBorder="1">
      <alignment/>
      <protection/>
    </xf>
    <xf numFmtId="3" fontId="4" fillId="0" borderId="11" xfId="55" applyNumberFormat="1" applyFont="1" applyBorder="1">
      <alignment/>
      <protection/>
    </xf>
    <xf numFmtId="3" fontId="4" fillId="0" borderId="12" xfId="55" applyNumberFormat="1" applyFont="1" applyBorder="1">
      <alignment/>
      <protection/>
    </xf>
    <xf numFmtId="3" fontId="4" fillId="0" borderId="13" xfId="55" applyNumberFormat="1" applyFont="1" applyBorder="1">
      <alignment/>
      <protection/>
    </xf>
    <xf numFmtId="3" fontId="4" fillId="0" borderId="10" xfId="55" applyNumberFormat="1" applyFont="1" applyBorder="1">
      <alignment/>
      <protection/>
    </xf>
    <xf numFmtId="0" fontId="4" fillId="0" borderId="19" xfId="55" applyFont="1" applyBorder="1">
      <alignment/>
      <protection/>
    </xf>
    <xf numFmtId="0" fontId="4" fillId="0" borderId="0" xfId="55" applyFont="1" applyBorder="1">
      <alignment/>
      <protection/>
    </xf>
    <xf numFmtId="0" fontId="4" fillId="0" borderId="20" xfId="55" applyFont="1" applyBorder="1">
      <alignment/>
      <protection/>
    </xf>
    <xf numFmtId="0" fontId="4" fillId="0" borderId="11" xfId="55" applyFont="1" applyBorder="1">
      <alignment/>
      <protection/>
    </xf>
    <xf numFmtId="0" fontId="4" fillId="0" borderId="12" xfId="55" applyFont="1" applyBorder="1">
      <alignment/>
      <protection/>
    </xf>
    <xf numFmtId="3" fontId="4" fillId="0" borderId="0" xfId="55" applyNumberFormat="1" applyFont="1">
      <alignment/>
      <protection/>
    </xf>
    <xf numFmtId="0" fontId="5" fillId="0" borderId="0" xfId="55" applyFont="1" applyAlignment="1">
      <alignment horizontal="centerContinuous"/>
      <protection/>
    </xf>
    <xf numFmtId="0" fontId="4" fillId="0" borderId="0" xfId="55" applyFont="1" applyAlignment="1">
      <alignment horizontal="centerContinuous"/>
      <protection/>
    </xf>
    <xf numFmtId="17" fontId="4" fillId="0" borderId="0" xfId="55" applyNumberFormat="1" applyFont="1" applyAlignment="1">
      <alignment horizontal="right" vertical="center"/>
      <protection/>
    </xf>
    <xf numFmtId="0" fontId="4" fillId="0" borderId="0" xfId="55" applyFont="1" applyAlignment="1">
      <alignment horizontal="right" vertical="center"/>
      <protection/>
    </xf>
    <xf numFmtId="17" fontId="4" fillId="0" borderId="0" xfId="55" applyNumberFormat="1" applyFont="1" applyAlignment="1">
      <alignment horizontal="left"/>
      <protection/>
    </xf>
    <xf numFmtId="17" fontId="4" fillId="0" borderId="0" xfId="55" applyNumberFormat="1" applyFont="1">
      <alignment/>
      <protection/>
    </xf>
    <xf numFmtId="0" fontId="4" fillId="0" borderId="0" xfId="55" applyFont="1" applyAlignment="1">
      <alignment horizontal="right"/>
      <protection/>
    </xf>
    <xf numFmtId="3" fontId="4" fillId="0" borderId="21" xfId="55" applyNumberFormat="1" applyFont="1" applyFill="1" applyBorder="1">
      <alignment/>
      <protection/>
    </xf>
    <xf numFmtId="3" fontId="4" fillId="0" borderId="0" xfId="55" applyNumberFormat="1" applyFont="1" applyFill="1" applyBorder="1">
      <alignment/>
      <protection/>
    </xf>
    <xf numFmtId="3" fontId="4" fillId="0" borderId="12" xfId="55" applyNumberFormat="1" applyFont="1" applyFill="1" applyBorder="1">
      <alignment/>
      <protection/>
    </xf>
    <xf numFmtId="3" fontId="5" fillId="0" borderId="0" xfId="0" applyNumberFormat="1" applyFont="1" applyBorder="1" applyAlignment="1">
      <alignment/>
    </xf>
    <xf numFmtId="0" fontId="6" fillId="0" borderId="0" xfId="55" applyFont="1" applyBorder="1" applyAlignment="1" applyProtection="1">
      <alignment vertical="center"/>
      <protection/>
    </xf>
    <xf numFmtId="0" fontId="2" fillId="0" borderId="0" xfId="55" applyFont="1" applyBorder="1" applyAlignment="1" applyProtection="1">
      <alignment vertical="center"/>
      <protection/>
    </xf>
    <xf numFmtId="0" fontId="0" fillId="0" borderId="0" xfId="0" applyFont="1" applyAlignment="1" applyProtection="1">
      <alignment horizontal="left" indent="2"/>
      <protection/>
    </xf>
    <xf numFmtId="0" fontId="10" fillId="0" borderId="0" xfId="0" applyFont="1" applyAlignment="1" applyProtection="1">
      <alignment/>
      <protection/>
    </xf>
    <xf numFmtId="0" fontId="5" fillId="0" borderId="0" xfId="0" applyFont="1" applyAlignment="1" applyProtection="1">
      <alignment/>
      <protection/>
    </xf>
    <xf numFmtId="0" fontId="5" fillId="0" borderId="0" xfId="0" applyFont="1" applyAlignment="1">
      <alignment horizontal="right"/>
    </xf>
    <xf numFmtId="0" fontId="5" fillId="0" borderId="0" xfId="0" applyFont="1" applyAlignment="1" applyProtection="1">
      <alignment horizontal="right"/>
      <protection/>
    </xf>
    <xf numFmtId="0" fontId="4" fillId="0" borderId="0" xfId="0" applyFont="1" applyAlignment="1" applyProtection="1">
      <alignment horizontal="left" indent="1"/>
      <protection/>
    </xf>
    <xf numFmtId="0" fontId="4" fillId="0" borderId="0" xfId="0" applyFont="1" applyAlignment="1">
      <alignment horizontal="left" indent="1"/>
    </xf>
    <xf numFmtId="0" fontId="3" fillId="0" borderId="0" xfId="0" applyFont="1" applyAlignment="1">
      <alignment/>
    </xf>
    <xf numFmtId="0" fontId="4" fillId="0" borderId="0" xfId="0" applyFont="1" applyAlignment="1">
      <alignment/>
    </xf>
    <xf numFmtId="3" fontId="0" fillId="0" borderId="0" xfId="0" applyNumberFormat="1" applyFont="1" applyAlignment="1" applyProtection="1">
      <alignment/>
      <protection/>
    </xf>
    <xf numFmtId="3" fontId="0" fillId="0" borderId="12"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0" xfId="0" applyAlignment="1" applyProtection="1">
      <alignment/>
      <protection/>
    </xf>
    <xf numFmtId="0" fontId="2" fillId="0" borderId="0" xfId="0" applyFont="1" applyAlignment="1" applyProtection="1">
      <alignment horizontal="right"/>
      <protection/>
    </xf>
    <xf numFmtId="0" fontId="7" fillId="0" borderId="0" xfId="0" applyFont="1" applyBorder="1" applyAlignment="1" applyProtection="1">
      <alignment horizontal="centerContinuous"/>
      <protection/>
    </xf>
    <xf numFmtId="0" fontId="0" fillId="0" borderId="0" xfId="0" applyFont="1" applyBorder="1" applyAlignment="1" applyProtection="1">
      <alignment horizontal="centerContinuous"/>
      <protection/>
    </xf>
    <xf numFmtId="0" fontId="0" fillId="0" borderId="0" xfId="0" applyAlignment="1" applyProtection="1">
      <alignment horizontal="centerContinuous"/>
      <protection/>
    </xf>
    <xf numFmtId="0" fontId="8" fillId="0" borderId="0" xfId="0" applyFont="1" applyBorder="1" applyAlignment="1" applyProtection="1">
      <alignment/>
      <protection/>
    </xf>
    <xf numFmtId="0" fontId="9" fillId="0" borderId="0" xfId="0" applyFont="1" applyBorder="1" applyAlignment="1" applyProtection="1">
      <alignment horizontal="center"/>
      <protection/>
    </xf>
    <xf numFmtId="0" fontId="5" fillId="0" borderId="0" xfId="0" applyFont="1" applyBorder="1" applyAlignment="1" applyProtection="1">
      <alignment/>
      <protection/>
    </xf>
    <xf numFmtId="3" fontId="4" fillId="0" borderId="0" xfId="0" applyNumberFormat="1" applyFont="1" applyAlignment="1" applyProtection="1">
      <alignment/>
      <protection/>
    </xf>
    <xf numFmtId="3" fontId="5" fillId="0" borderId="0" xfId="0" applyNumberFormat="1" applyFont="1" applyBorder="1" applyAlignment="1" applyProtection="1">
      <alignment/>
      <protection/>
    </xf>
    <xf numFmtId="0" fontId="4" fillId="0" borderId="0" xfId="0" applyFont="1" applyAlignment="1" applyProtection="1">
      <alignment/>
      <protection/>
    </xf>
    <xf numFmtId="0" fontId="10" fillId="0" borderId="0" xfId="0" applyFont="1" applyAlignment="1" applyProtection="1">
      <alignment horizontal="center"/>
      <protection/>
    </xf>
    <xf numFmtId="0" fontId="0" fillId="0" borderId="0" xfId="0" applyFont="1" applyBorder="1" applyAlignment="1" applyProtection="1">
      <alignment horizontal="left" indent="1"/>
      <protection/>
    </xf>
    <xf numFmtId="3" fontId="10" fillId="0" borderId="0" xfId="0" applyNumberFormat="1" applyFont="1" applyBorder="1" applyAlignment="1" applyProtection="1">
      <alignment/>
      <protection/>
    </xf>
    <xf numFmtId="0" fontId="10" fillId="0" borderId="0" xfId="0" applyFont="1" applyBorder="1" applyAlignment="1" applyProtection="1">
      <alignment/>
      <protection/>
    </xf>
    <xf numFmtId="6" fontId="11" fillId="0" borderId="0" xfId="0" applyNumberFormat="1" applyFont="1" applyBorder="1" applyAlignment="1" applyProtection="1">
      <alignment/>
      <protection/>
    </xf>
    <xf numFmtId="0" fontId="10" fillId="0" borderId="0" xfId="0" applyFont="1" applyBorder="1" applyAlignment="1" applyProtection="1">
      <alignment horizontal="center"/>
      <protection/>
    </xf>
    <xf numFmtId="169" fontId="11" fillId="0" borderId="0" xfId="0" applyNumberFormat="1" applyFont="1" applyBorder="1" applyAlignment="1" applyProtection="1">
      <alignment/>
      <protection/>
    </xf>
    <xf numFmtId="0" fontId="11" fillId="0" borderId="0" xfId="0" applyFont="1" applyBorder="1" applyAlignment="1" applyProtection="1">
      <alignment horizontal="left" indent="1"/>
      <protection/>
    </xf>
    <xf numFmtId="0" fontId="9" fillId="0" borderId="0" xfId="0" applyFont="1" applyBorder="1" applyAlignment="1" applyProtection="1">
      <alignment/>
      <protection/>
    </xf>
    <xf numFmtId="0" fontId="11" fillId="0" borderId="0" xfId="0" applyFont="1" applyBorder="1" applyAlignment="1" applyProtection="1">
      <alignment/>
      <protection/>
    </xf>
    <xf numFmtId="3" fontId="10" fillId="0" borderId="0" xfId="0" applyNumberFormat="1" applyFont="1" applyBorder="1" applyAlignment="1" applyProtection="1">
      <alignment horizontal="right"/>
      <protection/>
    </xf>
    <xf numFmtId="10" fontId="11" fillId="0" borderId="0" xfId="0" applyNumberFormat="1" applyFont="1" applyBorder="1" applyAlignment="1" applyProtection="1">
      <alignment/>
      <protection/>
    </xf>
    <xf numFmtId="0" fontId="0" fillId="0" borderId="0" xfId="0" applyFont="1" applyBorder="1" applyAlignment="1" applyProtection="1">
      <alignment/>
      <protection/>
    </xf>
    <xf numFmtId="6" fontId="11" fillId="0" borderId="0" xfId="44" applyNumberFormat="1" applyFont="1" applyFill="1" applyBorder="1" applyAlignment="1" applyProtection="1">
      <alignment/>
      <protection/>
    </xf>
    <xf numFmtId="0" fontId="2" fillId="0" borderId="0" xfId="0" applyFont="1" applyBorder="1" applyAlignment="1" applyProtection="1">
      <alignment/>
      <protection/>
    </xf>
    <xf numFmtId="3" fontId="2" fillId="0" borderId="0" xfId="0" applyNumberFormat="1" applyFont="1" applyBorder="1" applyAlignment="1" applyProtection="1">
      <alignment/>
      <protection/>
    </xf>
    <xf numFmtId="0" fontId="4" fillId="0" borderId="0" xfId="0" applyFont="1" applyAlignment="1" applyProtection="1">
      <alignment horizontal="right"/>
      <protection/>
    </xf>
    <xf numFmtId="164" fontId="5" fillId="0" borderId="0" xfId="0" applyNumberFormat="1" applyFont="1" applyBorder="1" applyAlignment="1" applyProtection="1">
      <alignment horizontal="right"/>
      <protection/>
    </xf>
    <xf numFmtId="0" fontId="4" fillId="0" borderId="0" xfId="0" applyFont="1" applyAlignment="1" applyProtection="1">
      <alignment horizontal="centerContinuous"/>
      <protection/>
    </xf>
    <xf numFmtId="0" fontId="2" fillId="34" borderId="0" xfId="0" applyFont="1" applyFill="1" applyAlignment="1" applyProtection="1">
      <alignment/>
      <protection locked="0"/>
    </xf>
    <xf numFmtId="0" fontId="5" fillId="34" borderId="0" xfId="0" applyFont="1" applyFill="1" applyAlignment="1" applyProtection="1">
      <alignment/>
      <protection locked="0"/>
    </xf>
    <xf numFmtId="0" fontId="4" fillId="34" borderId="0" xfId="0" applyFont="1" applyFill="1" applyAlignment="1" applyProtection="1">
      <alignment/>
      <protection locked="0"/>
    </xf>
    <xf numFmtId="3" fontId="4" fillId="34" borderId="0" xfId="0" applyNumberFormat="1" applyFont="1" applyFill="1" applyAlignment="1" applyProtection="1">
      <alignment/>
      <protection locked="0"/>
    </xf>
    <xf numFmtId="3" fontId="4" fillId="34" borderId="12" xfId="0" applyNumberFormat="1" applyFont="1" applyFill="1" applyBorder="1" applyAlignment="1" applyProtection="1">
      <alignment/>
      <protection locked="0"/>
    </xf>
    <xf numFmtId="3" fontId="4" fillId="34" borderId="21" xfId="55" applyNumberFormat="1" applyFont="1" applyFill="1" applyBorder="1" applyAlignment="1" applyProtection="1">
      <alignment horizontal="right" vertical="center"/>
      <protection locked="0"/>
    </xf>
    <xf numFmtId="3" fontId="4" fillId="34" borderId="0" xfId="55" applyNumberFormat="1" applyFont="1" applyFill="1" applyBorder="1" applyAlignment="1" applyProtection="1">
      <alignment horizontal="right" vertical="center"/>
      <protection locked="0"/>
    </xf>
    <xf numFmtId="3" fontId="4" fillId="34" borderId="22" xfId="55" applyNumberFormat="1" applyFont="1" applyFill="1" applyBorder="1" applyAlignment="1" applyProtection="1">
      <alignment horizontal="right" vertical="center"/>
      <protection locked="0"/>
    </xf>
    <xf numFmtId="3" fontId="4" fillId="34" borderId="21" xfId="55" applyNumberFormat="1" applyFont="1" applyFill="1" applyBorder="1" applyProtection="1">
      <alignment/>
      <protection locked="0"/>
    </xf>
    <xf numFmtId="3" fontId="4" fillId="34" borderId="0" xfId="55" applyNumberFormat="1" applyFont="1" applyFill="1" applyBorder="1" applyProtection="1">
      <alignment/>
      <protection locked="0"/>
    </xf>
    <xf numFmtId="3" fontId="4" fillId="34" borderId="22" xfId="55" applyNumberFormat="1" applyFont="1" applyFill="1" applyBorder="1" applyProtection="1">
      <alignment/>
      <protection locked="0"/>
    </xf>
    <xf numFmtId="3" fontId="4" fillId="34" borderId="13" xfId="55" applyNumberFormat="1" applyFont="1" applyFill="1" applyBorder="1" applyProtection="1">
      <alignment/>
      <protection locked="0"/>
    </xf>
    <xf numFmtId="0" fontId="4" fillId="34" borderId="0" xfId="55" applyFont="1" applyFill="1" applyBorder="1" applyAlignment="1" applyProtection="1">
      <alignment horizontal="centerContinuous" vertical="top"/>
      <protection locked="0"/>
    </xf>
    <xf numFmtId="6" fontId="11" fillId="34" borderId="0" xfId="0" applyNumberFormat="1" applyFont="1" applyFill="1" applyBorder="1" applyAlignment="1" applyProtection="1">
      <alignment/>
      <protection locked="0"/>
    </xf>
    <xf numFmtId="0" fontId="4" fillId="0" borderId="12" xfId="55" applyFont="1" applyBorder="1" applyAlignment="1" applyProtection="1">
      <alignment horizontal="right"/>
      <protection/>
    </xf>
    <xf numFmtId="0" fontId="5" fillId="0" borderId="18" xfId="55" applyFont="1" applyFill="1" applyBorder="1" applyAlignment="1" applyProtection="1">
      <alignment horizontal="centerContinuous"/>
      <protection/>
    </xf>
    <xf numFmtId="3" fontId="4" fillId="35" borderId="21" xfId="55" applyNumberFormat="1" applyFont="1" applyFill="1" applyBorder="1">
      <alignment/>
      <protection/>
    </xf>
    <xf numFmtId="3" fontId="4" fillId="35" borderId="11" xfId="55" applyNumberFormat="1" applyFont="1" applyFill="1" applyBorder="1">
      <alignment/>
      <protection/>
    </xf>
    <xf numFmtId="3" fontId="4" fillId="35" borderId="0" xfId="55" applyNumberFormat="1" applyFont="1" applyFill="1" applyBorder="1">
      <alignment/>
      <protection/>
    </xf>
    <xf numFmtId="3" fontId="4" fillId="35" borderId="12" xfId="55" applyNumberFormat="1" applyFont="1" applyFill="1" applyBorder="1">
      <alignment/>
      <protection/>
    </xf>
    <xf numFmtId="3" fontId="4" fillId="0" borderId="12" xfId="0" applyNumberFormat="1" applyFont="1" applyBorder="1" applyAlignment="1" applyProtection="1">
      <alignment/>
      <protection/>
    </xf>
    <xf numFmtId="3" fontId="0" fillId="0" borderId="0" xfId="0" applyNumberFormat="1" applyAlignment="1" applyProtection="1">
      <alignment/>
      <protection/>
    </xf>
    <xf numFmtId="0" fontId="2" fillId="0" borderId="0" xfId="0" applyFont="1" applyAlignment="1" applyProtection="1">
      <alignment/>
      <protection/>
    </xf>
    <xf numFmtId="3" fontId="10" fillId="0" borderId="0" xfId="0" applyNumberFormat="1" applyFont="1" applyAlignment="1" applyProtection="1">
      <alignment/>
      <protection/>
    </xf>
    <xf numFmtId="3" fontId="0" fillId="0" borderId="0" xfId="58" applyNumberFormat="1" applyFont="1" applyBorder="1" applyAlignment="1" applyProtection="1">
      <alignment/>
      <protection/>
    </xf>
    <xf numFmtId="3" fontId="0" fillId="0" borderId="12" xfId="0" applyNumberFormat="1" applyBorder="1" applyAlignment="1" applyProtection="1">
      <alignment/>
      <protection/>
    </xf>
    <xf numFmtId="3" fontId="0" fillId="0" borderId="12" xfId="58" applyNumberFormat="1" applyFont="1" applyBorder="1" applyAlignment="1" applyProtection="1">
      <alignment/>
      <protection/>
    </xf>
    <xf numFmtId="1" fontId="2" fillId="0" borderId="0" xfId="58" applyNumberFormat="1" applyFont="1" applyBorder="1" applyAlignment="1" applyProtection="1">
      <alignment/>
      <protection/>
    </xf>
    <xf numFmtId="0" fontId="2" fillId="0" borderId="0" xfId="0" applyFont="1" applyAlignment="1">
      <alignment horizontal="right"/>
    </xf>
    <xf numFmtId="0" fontId="0" fillId="0" borderId="0" xfId="0" applyFill="1" applyAlignment="1">
      <alignment/>
    </xf>
    <xf numFmtId="0" fontId="8" fillId="0" borderId="0" xfId="0" applyFont="1" applyAlignment="1">
      <alignment horizontal="right"/>
    </xf>
    <xf numFmtId="14" fontId="0" fillId="34" borderId="0" xfId="0" applyNumberFormat="1" applyFill="1" applyAlignment="1" applyProtection="1">
      <alignment/>
      <protection locked="0"/>
    </xf>
    <xf numFmtId="14" fontId="4" fillId="0" borderId="0" xfId="0" applyNumberFormat="1" applyFont="1" applyAlignment="1" applyProtection="1">
      <alignment horizontal="centerContinuous"/>
      <protection/>
    </xf>
    <xf numFmtId="0" fontId="0" fillId="0" borderId="0" xfId="0" applyAlignment="1" applyProtection="1">
      <alignment horizontal="left" indent="2"/>
      <protection/>
    </xf>
    <xf numFmtId="0" fontId="0" fillId="0" borderId="0" xfId="0" applyFont="1" applyBorder="1" applyAlignment="1" applyProtection="1">
      <alignment horizontal="left" indent="2"/>
      <protection/>
    </xf>
    <xf numFmtId="14" fontId="0" fillId="0" borderId="0" xfId="0" applyNumberFormat="1" applyFont="1" applyAlignment="1" applyProtection="1">
      <alignment/>
      <protection/>
    </xf>
    <xf numFmtId="14" fontId="0" fillId="0" borderId="0" xfId="0" applyNumberFormat="1" applyFont="1" applyAlignment="1" applyProtection="1">
      <alignment/>
      <protection/>
    </xf>
    <xf numFmtId="0" fontId="10" fillId="0" borderId="0" xfId="0" applyFont="1" applyAlignment="1">
      <alignment/>
    </xf>
    <xf numFmtId="0" fontId="0" fillId="0" borderId="0" xfId="0" applyFont="1" applyAlignment="1">
      <alignment/>
    </xf>
    <xf numFmtId="0" fontId="0" fillId="0" borderId="0" xfId="0" applyAlignment="1" quotePrefix="1">
      <alignment/>
    </xf>
    <xf numFmtId="0" fontId="2" fillId="0" borderId="0" xfId="0" applyFont="1" applyAlignment="1" applyProtection="1">
      <alignment horizontal="right" shrinkToFit="1"/>
      <protection/>
    </xf>
    <xf numFmtId="0" fontId="0" fillId="0" borderId="0" xfId="0" applyAlignment="1">
      <alignment horizontal="right" shrinkToFi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07template"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95" zoomScaleNormal="95" zoomScaleSheetLayoutView="95" zoomScalePageLayoutView="0" workbookViewId="0" topLeftCell="A1">
      <selection activeCell="B7" sqref="B7"/>
    </sheetView>
  </sheetViews>
  <sheetFormatPr defaultColWidth="9.140625" defaultRowHeight="12.75"/>
  <cols>
    <col min="1" max="1" width="35.7109375" style="0" customWidth="1"/>
    <col min="2" max="2" width="10.140625" style="0" customWidth="1"/>
    <col min="3" max="3" width="2.7109375" style="0" customWidth="1"/>
    <col min="4" max="4" width="34.7109375" style="0" customWidth="1"/>
    <col min="5" max="5" width="11.8515625" style="0" customWidth="1"/>
    <col min="6" max="6" width="10.00390625" style="0" customWidth="1"/>
  </cols>
  <sheetData>
    <row r="1" spans="1:6" ht="15.75">
      <c r="A1" s="105" t="s">
        <v>54</v>
      </c>
      <c r="D1" s="1" t="s">
        <v>0</v>
      </c>
      <c r="F1" s="106">
        <v>2014</v>
      </c>
    </row>
    <row r="2" spans="4:6" ht="15.75" customHeight="1">
      <c r="D2" s="133" t="s">
        <v>52</v>
      </c>
      <c r="E2" s="136">
        <v>41572</v>
      </c>
      <c r="F2" s="134"/>
    </row>
    <row r="3" spans="1:6" ht="21.75" customHeight="1">
      <c r="A3" s="2" t="s">
        <v>22</v>
      </c>
      <c r="B3" s="3"/>
      <c r="C3" s="3"/>
      <c r="D3" s="3"/>
      <c r="E3" s="3"/>
      <c r="F3" s="3"/>
    </row>
    <row r="5" spans="1:6" ht="15">
      <c r="A5" s="4" t="s">
        <v>1</v>
      </c>
      <c r="B5" s="5"/>
      <c r="C5" s="5"/>
      <c r="D5" s="70" t="s">
        <v>2</v>
      </c>
      <c r="E5" s="71"/>
      <c r="F5" s="71"/>
    </row>
    <row r="6" spans="1:6" ht="15">
      <c r="A6" s="107" t="s">
        <v>56</v>
      </c>
      <c r="B6" s="107">
        <v>-128</v>
      </c>
      <c r="C6" s="5"/>
      <c r="D6" s="68" t="s">
        <v>24</v>
      </c>
      <c r="E6" s="108">
        <v>9612</v>
      </c>
      <c r="F6" s="5"/>
    </row>
    <row r="7" spans="1:6" ht="15">
      <c r="A7" s="107" t="s">
        <v>57</v>
      </c>
      <c r="B7" s="108">
        <v>19851</v>
      </c>
      <c r="C7" s="5"/>
      <c r="D7" s="68" t="s">
        <v>25</v>
      </c>
      <c r="E7" s="109">
        <v>1870</v>
      </c>
      <c r="F7" s="5"/>
    </row>
    <row r="8" spans="1:6" ht="15.75">
      <c r="A8" s="107"/>
      <c r="B8" s="107"/>
      <c r="C8" s="5"/>
      <c r="D8" s="66" t="s">
        <v>23</v>
      </c>
      <c r="E8" s="60">
        <f>E6+E7</f>
        <v>11482</v>
      </c>
      <c r="F8" s="5"/>
    </row>
    <row r="9" spans="1:6" ht="15">
      <c r="A9" s="107"/>
      <c r="B9" s="107"/>
      <c r="C9" s="5"/>
      <c r="D9" s="68" t="str">
        <f>IF(F1="","FY      TANF Caseload","FY "&amp;F1-1&amp;" TANF Caseload")</f>
        <v>FY 2013 TANF Caseload</v>
      </c>
      <c r="E9" s="108">
        <v>6908</v>
      </c>
      <c r="F9" s="5"/>
    </row>
    <row r="10" spans="1:6" ht="15">
      <c r="A10" s="107"/>
      <c r="B10" s="108"/>
      <c r="C10" s="5"/>
      <c r="D10" s="68" t="str">
        <f>IF(F1="","FY      SSP Caseload","FY "&amp;F1-1&amp;" SSP Caseload")</f>
        <v>FY 2013 SSP Caseload</v>
      </c>
      <c r="E10" s="109">
        <v>21354</v>
      </c>
      <c r="F10" s="5"/>
    </row>
    <row r="11" spans="1:6" ht="15.75">
      <c r="A11" s="107"/>
      <c r="B11" s="108"/>
      <c r="C11" s="5"/>
      <c r="D11" s="67" t="str">
        <f>IF(F1="","Total FY      Caseload","Total FY "&amp;F1-1&amp;" Caseload")</f>
        <v>Total FY 2013 Caseload</v>
      </c>
      <c r="E11" s="60">
        <f>E9+E10</f>
        <v>28262</v>
      </c>
      <c r="F11" s="5"/>
    </row>
    <row r="12" spans="1:6" ht="15">
      <c r="A12" s="107"/>
      <c r="B12" s="108"/>
      <c r="C12" s="5"/>
      <c r="D12" s="68" t="str">
        <f>IF(F1="","Excess MOE Cases in FY     ","Excess MOE Cases in FY "&amp;F1-1&amp;"")</f>
        <v>Excess MOE Cases in FY 2013</v>
      </c>
      <c r="E12" s="125">
        <f>'Excess MOE Worksheet'!F26</f>
        <v>89.60271003081658</v>
      </c>
      <c r="F12" s="5"/>
    </row>
    <row r="13" spans="1:6" ht="15.75">
      <c r="A13" s="107"/>
      <c r="B13" s="108"/>
      <c r="C13" s="5"/>
      <c r="D13" s="67" t="str">
        <f>IF(F1="","Adjusted FY      Caseload","Adjusted FY "&amp;F1-1&amp;" Caseload")</f>
        <v>Adjusted FY 2013 Caseload</v>
      </c>
      <c r="E13" s="60">
        <f>E11-E12</f>
        <v>28172.397289969183</v>
      </c>
      <c r="F13" s="7"/>
    </row>
    <row r="14" spans="1:6" ht="15">
      <c r="A14" s="107"/>
      <c r="B14" s="108"/>
      <c r="C14" s="5"/>
      <c r="D14" s="69" t="s">
        <v>42</v>
      </c>
      <c r="E14" s="6">
        <f>E8-E13</f>
        <v>-16690.397289969183</v>
      </c>
      <c r="F14" s="7">
        <f>IF(E8=0,0,E14/E8)</f>
        <v>-1.4536141168759087</v>
      </c>
    </row>
    <row r="15" spans="1:5" ht="15">
      <c r="A15" s="107"/>
      <c r="B15" s="108"/>
      <c r="C15" s="5"/>
      <c r="D15" s="69" t="s">
        <v>3</v>
      </c>
      <c r="E15" s="6">
        <f>E14+B26</f>
        <v>3032.6027100308165</v>
      </c>
    </row>
    <row r="16" spans="1:6" ht="15">
      <c r="A16" s="107"/>
      <c r="B16" s="108"/>
      <c r="C16" s="5"/>
      <c r="D16" s="5"/>
      <c r="E16" s="5"/>
      <c r="F16" s="5"/>
    </row>
    <row r="17" spans="1:6" ht="15.75">
      <c r="A17" s="107"/>
      <c r="B17" s="108"/>
      <c r="C17" s="5"/>
      <c r="D17" s="5"/>
      <c r="E17" s="8" t="s">
        <v>4</v>
      </c>
      <c r="F17" s="9">
        <f>IF(E8&lt;=0,0,(IF(E15/E8&gt;F14,F14,E15/E8)))</f>
        <v>-1.4536141168759087</v>
      </c>
    </row>
    <row r="18" spans="1:5" ht="15">
      <c r="A18" s="107"/>
      <c r="B18" s="108"/>
      <c r="C18" s="5"/>
      <c r="D18" s="5"/>
      <c r="E18" s="8"/>
    </row>
    <row r="19" spans="1:3" ht="15">
      <c r="A19" s="107"/>
      <c r="B19" s="108"/>
      <c r="C19" s="5"/>
    </row>
    <row r="20" spans="1:3" ht="15">
      <c r="A20" s="107"/>
      <c r="B20" s="108"/>
      <c r="C20" s="5"/>
    </row>
    <row r="21" spans="1:3" ht="15">
      <c r="A21" s="107"/>
      <c r="B21" s="108"/>
      <c r="C21" s="5"/>
    </row>
    <row r="22" spans="1:6" ht="15.75">
      <c r="A22" s="107"/>
      <c r="B22" s="108"/>
      <c r="C22" s="5"/>
      <c r="F22" s="9"/>
    </row>
    <row r="23" spans="1:3" ht="15">
      <c r="A23" s="107"/>
      <c r="B23" s="108"/>
      <c r="C23" s="5"/>
    </row>
    <row r="24" spans="1:5" ht="15">
      <c r="A24" s="107"/>
      <c r="B24" s="108"/>
      <c r="C24" s="5"/>
      <c r="D24" s="5"/>
      <c r="E24" s="8"/>
    </row>
    <row r="25" spans="1:6" ht="15.75">
      <c r="A25" s="107"/>
      <c r="B25" s="108"/>
      <c r="C25" s="5"/>
      <c r="D25" s="5"/>
      <c r="E25" s="8"/>
      <c r="F25" s="9"/>
    </row>
    <row r="26" spans="1:6" ht="15.75">
      <c r="A26" s="10" t="s">
        <v>5</v>
      </c>
      <c r="B26" s="11">
        <f>SUM(B6:B25)</f>
        <v>19723</v>
      </c>
      <c r="C26" s="12"/>
      <c r="D26" s="5"/>
      <c r="E26" s="8"/>
      <c r="F26" s="9"/>
    </row>
    <row r="27" spans="4:6" ht="15.75">
      <c r="D27" s="5"/>
      <c r="E27" s="8"/>
      <c r="F27" s="9"/>
    </row>
    <row r="28" spans="4:6" ht="15.75">
      <c r="D28" s="5"/>
      <c r="E28" s="8"/>
      <c r="F28" s="9"/>
    </row>
    <row r="29" spans="4:6" ht="15.75">
      <c r="D29" s="5"/>
      <c r="E29" s="8"/>
      <c r="F29" s="9"/>
    </row>
    <row r="30" spans="4:6" ht="15.75">
      <c r="D30" s="5"/>
      <c r="E30" s="8"/>
      <c r="F30" s="9"/>
    </row>
    <row r="31" spans="4:6" ht="15.75">
      <c r="D31" s="5"/>
      <c r="E31" s="8"/>
      <c r="F31" s="9"/>
    </row>
    <row r="32" spans="4:6" ht="15.7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type="whole" allowBlank="1" showInputMessage="1" showErrorMessage="1" promptTitle="Enter 4-digit year" prompt="Enter the 4-digit fiscal year to which the credit applies, e.g., 2007." errorTitle="Incorrect year format" error="You may only enter the 4-digit year with no letters.  " sqref="F1">
      <formula1>2007</formula1>
      <formula2>2020</formula2>
    </dataValidation>
    <dataValidation type="textLength" showInputMessage="1" showErrorMessage="1" promptTitle="State name" prompt="Enter State name here." sqref="A1">
      <formula1>1</formula1>
      <formula2>50</formula2>
    </dataValidation>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type="date" allowBlank="1" showInputMessage="1" showErrorMessage="1" promptTitle="Date of Completion:" prompt="Enter the date you are completing this report.  &#10;&#10;If you revise the report for any reason, please update this field. " errorTitle="Error in Date" error="Enter date as mm/dd/yyyy.&#10;&#10;Date must be between October 1, 2008 and December 31, 2015." sqref="E2">
      <formula1>39722</formula1>
      <formula2>42369</formula2>
    </dataValidation>
  </dataValidations>
  <printOptions gridLines="1" headings="1" horizontalCentered="1"/>
  <pageMargins left="0.25" right="0.25" top="1.25" bottom="0.25" header="0.5" footer="0.5"/>
  <pageSetup fitToHeight="0" fitToWidth="1" horizontalDpi="600" verticalDpi="600" orientation="portrait" scale="95" r:id="rId1"/>
  <headerFooter alignWithMargins="0">
    <oddHeader>&amp;C&amp;"Arial,Bold"&amp;12FORM ACF-202 – TANF CASELOAD REDUCTION REPORT
Overall Credit</oddHeader>
    <oddFooter xml:space="preserve">&amp;LOMB Control No.:  0970-0338  &amp;RExpiration Date:   04/30/2011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tabSelected="1" zoomScale="95" zoomScaleNormal="95" zoomScaleSheetLayoutView="95" zoomScalePageLayoutView="0" workbookViewId="0" topLeftCell="A1">
      <selection activeCell="J9" sqref="J9"/>
    </sheetView>
  </sheetViews>
  <sheetFormatPr defaultColWidth="9.140625" defaultRowHeight="12.75"/>
  <cols>
    <col min="1" max="1" width="35.7109375" style="0" customWidth="1"/>
    <col min="2" max="2" width="10.140625" style="0" customWidth="1"/>
    <col min="3" max="3" width="2.7109375" style="0" customWidth="1"/>
    <col min="4" max="4" width="37.00390625" style="0" customWidth="1"/>
    <col min="5" max="5" width="11.8515625" style="0" customWidth="1"/>
    <col min="6" max="6" width="10.00390625" style="0" customWidth="1"/>
  </cols>
  <sheetData>
    <row r="1" spans="1:6" ht="15.75">
      <c r="A1" s="62" t="str">
        <f>IF('Calculation Worksheet'!A1="State?","",'Calculation Worksheet'!A1)</f>
        <v>State - Maine</v>
      </c>
      <c r="D1" s="1" t="s">
        <v>0</v>
      </c>
      <c r="F1" s="65">
        <f>IF('Calculation Worksheet'!F1="","",'Calculation Worksheet'!F1)</f>
        <v>2014</v>
      </c>
    </row>
    <row r="2" spans="4:5" ht="15.75" customHeight="1">
      <c r="D2" s="133" t="s">
        <v>52</v>
      </c>
      <c r="E2" s="140">
        <f>IF('Calculation Worksheet'!E2="","",'Calculation Worksheet'!E2)</f>
        <v>41572</v>
      </c>
    </row>
    <row r="3" spans="1:6" ht="21.75" customHeight="1">
      <c r="A3" s="2" t="s">
        <v>50</v>
      </c>
      <c r="B3" s="3"/>
      <c r="C3" s="3"/>
      <c r="D3" s="3"/>
      <c r="E3" s="3"/>
      <c r="F3" s="3"/>
    </row>
    <row r="5" spans="1:6" ht="15">
      <c r="A5" s="4" t="s">
        <v>1</v>
      </c>
      <c r="B5" s="5"/>
      <c r="C5" s="5"/>
      <c r="D5" s="70" t="s">
        <v>2</v>
      </c>
      <c r="E5" s="71"/>
      <c r="F5" s="71"/>
    </row>
    <row r="6" spans="1:6" ht="15">
      <c r="A6" s="107"/>
      <c r="B6" s="107"/>
      <c r="C6" s="5"/>
      <c r="D6" s="68" t="s">
        <v>47</v>
      </c>
      <c r="E6" s="108"/>
      <c r="F6" s="5"/>
    </row>
    <row r="7" spans="1:6" ht="15">
      <c r="A7" s="107"/>
      <c r="B7" s="107"/>
      <c r="C7" s="5"/>
      <c r="D7" s="68" t="s">
        <v>48</v>
      </c>
      <c r="E7" s="109"/>
      <c r="F7" s="5"/>
    </row>
    <row r="8" spans="1:6" ht="15.75">
      <c r="A8" s="107"/>
      <c r="B8" s="107"/>
      <c r="C8" s="5"/>
      <c r="D8" s="66" t="s">
        <v>23</v>
      </c>
      <c r="E8" s="60">
        <f>E6+E7</f>
        <v>0</v>
      </c>
      <c r="F8" s="5"/>
    </row>
    <row r="9" spans="1:6" ht="15">
      <c r="A9" s="107"/>
      <c r="B9" s="107"/>
      <c r="C9" s="5"/>
      <c r="D9" s="68" t="str">
        <f>IF(F1="","FY      TANF 2-Parent Caseload","FY "&amp;F1-1&amp;" TANF 2-Parent Caseload")</f>
        <v>FY 2013 TANF 2-Parent Caseload</v>
      </c>
      <c r="E9" s="108"/>
      <c r="F9" s="5"/>
    </row>
    <row r="10" spans="1:6" ht="15">
      <c r="A10" s="107"/>
      <c r="B10" s="108"/>
      <c r="C10" s="5"/>
      <c r="D10" s="68" t="str">
        <f>IF(F1="","FY      SSP 2-Parent Caseload","FY "&amp;F1-1&amp;" SSP 2-Parent Caseload")</f>
        <v>FY 2013 SSP 2-Parent Caseload</v>
      </c>
      <c r="E10" s="109"/>
      <c r="F10" s="5"/>
    </row>
    <row r="11" spans="1:6" ht="15.75">
      <c r="A11" s="107"/>
      <c r="B11" s="108"/>
      <c r="C11" s="5"/>
      <c r="D11" s="67" t="str">
        <f>IF(F1="","Total FY      2-Parent Caseload","Total FY "&amp;F1-1&amp;" 2-Parent Caseload")</f>
        <v>Total FY 2013 2-Parent Caseload</v>
      </c>
      <c r="E11" s="60">
        <f>E9+E10</f>
        <v>0</v>
      </c>
      <c r="F11" s="5"/>
    </row>
    <row r="12" spans="1:6" ht="15">
      <c r="A12" s="107"/>
      <c r="B12" s="108"/>
      <c r="C12" s="5"/>
      <c r="D12" s="68" t="str">
        <f>IF(F1="","Excess MOE 2-Parent Cases in FY     ","Excess MOE 2-Parent Cases in FY "&amp;F1-1&amp;"")</f>
        <v>Excess MOE 2-Parent Cases in FY 2013</v>
      </c>
      <c r="E12" s="125">
        <f>'Excess MOE Worksheet'!F27</f>
        <v>0</v>
      </c>
      <c r="F12" s="5"/>
    </row>
    <row r="13" spans="1:6" ht="15.75">
      <c r="A13" s="107"/>
      <c r="B13" s="108"/>
      <c r="C13" s="5"/>
      <c r="D13" s="67" t="str">
        <f>IF(F1="","Adjusted FY      Caseload","Adjusted FY "&amp;F1-1&amp;" Caseload")</f>
        <v>Adjusted FY 2013 Caseload</v>
      </c>
      <c r="E13" s="60">
        <f>E11-E12</f>
        <v>0</v>
      </c>
      <c r="F13" s="7"/>
    </row>
    <row r="14" spans="1:6" ht="15">
      <c r="A14" s="107"/>
      <c r="B14" s="108"/>
      <c r="C14" s="5"/>
      <c r="D14" s="69" t="s">
        <v>42</v>
      </c>
      <c r="E14" s="6">
        <f>E8-E13</f>
        <v>0</v>
      </c>
      <c r="F14" s="7">
        <f>IF(E8=0,0,E14/E8)</f>
        <v>0</v>
      </c>
    </row>
    <row r="15" spans="1:5" ht="15">
      <c r="A15" s="107"/>
      <c r="B15" s="108"/>
      <c r="C15" s="5"/>
      <c r="D15" s="69" t="s">
        <v>3</v>
      </c>
      <c r="E15" s="6">
        <f>E14+B26</f>
        <v>0</v>
      </c>
    </row>
    <row r="16" spans="1:6" ht="15">
      <c r="A16" s="107"/>
      <c r="B16" s="108"/>
      <c r="C16" s="5"/>
      <c r="D16" s="5"/>
      <c r="E16" s="5"/>
      <c r="F16" s="5"/>
    </row>
    <row r="17" spans="1:6" ht="15.75">
      <c r="A17" s="107"/>
      <c r="B17" s="108"/>
      <c r="C17" s="5"/>
      <c r="D17" s="5"/>
      <c r="E17" s="8" t="s">
        <v>49</v>
      </c>
      <c r="F17" s="9">
        <f>IF(E8&lt;=0,0,(IF(E15/E8&gt;F14,F14,E15/E8)))</f>
        <v>0</v>
      </c>
    </row>
    <row r="18" spans="1:5" ht="15">
      <c r="A18" s="107"/>
      <c r="B18" s="108"/>
      <c r="C18" s="5"/>
      <c r="D18" s="5"/>
      <c r="E18" s="8"/>
    </row>
    <row r="19" spans="1:3" ht="15">
      <c r="A19" s="107"/>
      <c r="B19" s="108"/>
      <c r="C19" s="5"/>
    </row>
    <row r="20" spans="1:3" ht="15">
      <c r="A20" s="107"/>
      <c r="B20" s="108"/>
      <c r="C20" s="5"/>
    </row>
    <row r="21" spans="1:3" ht="15">
      <c r="A21" s="107"/>
      <c r="B21" s="108"/>
      <c r="C21" s="5"/>
    </row>
    <row r="22" spans="1:6" ht="15.75">
      <c r="A22" s="107"/>
      <c r="B22" s="108"/>
      <c r="C22" s="5"/>
      <c r="F22" s="9"/>
    </row>
    <row r="23" spans="1:3" ht="15">
      <c r="A23" s="107"/>
      <c r="B23" s="108"/>
      <c r="C23" s="5"/>
    </row>
    <row r="24" spans="1:5" ht="15">
      <c r="A24" s="107"/>
      <c r="B24" s="108"/>
      <c r="C24" s="5"/>
      <c r="D24" s="5"/>
      <c r="E24" s="8"/>
    </row>
    <row r="25" spans="1:6" ht="15.75">
      <c r="A25" s="107"/>
      <c r="B25" s="108"/>
      <c r="C25" s="5"/>
      <c r="D25" s="5"/>
      <c r="E25" s="8"/>
      <c r="F25" s="9"/>
    </row>
    <row r="26" spans="1:6" ht="15.75">
      <c r="A26" s="10" t="s">
        <v>5</v>
      </c>
      <c r="B26" s="11">
        <f>SUM(B6:B25)</f>
        <v>0</v>
      </c>
      <c r="C26" s="12"/>
      <c r="D26" s="5"/>
      <c r="E26" s="8"/>
      <c r="F26" s="9"/>
    </row>
    <row r="27" spans="4:6" ht="15.75">
      <c r="D27" s="5"/>
      <c r="E27" s="8"/>
      <c r="F27" s="9"/>
    </row>
    <row r="28" spans="4:6" ht="15.75">
      <c r="D28" s="5"/>
      <c r="E28" s="8"/>
      <c r="F28" s="9"/>
    </row>
    <row r="29" spans="4:6" ht="15.75">
      <c r="D29" s="5"/>
      <c r="E29" s="8"/>
      <c r="F29" s="9"/>
    </row>
    <row r="30" spans="4:6" ht="15.75">
      <c r="D30" s="5"/>
      <c r="E30" s="8"/>
      <c r="F30" s="9"/>
    </row>
    <row r="31" spans="4:6" ht="15.75">
      <c r="D31" s="5"/>
      <c r="E31" s="8"/>
      <c r="F31" s="9"/>
    </row>
    <row r="32" spans="4:6" ht="15.75">
      <c r="D32" s="5"/>
      <c r="E32" s="5"/>
      <c r="F32" s="9"/>
    </row>
    <row r="33" spans="4:6" ht="15">
      <c r="D33" s="5"/>
      <c r="E33" s="6"/>
      <c r="F33" s="5"/>
    </row>
    <row r="34" spans="4:6" ht="15">
      <c r="D34" s="5"/>
      <c r="E34" s="5"/>
      <c r="F34" s="5"/>
    </row>
    <row r="35" spans="4:6" ht="15">
      <c r="D35" s="12"/>
      <c r="E35" s="12"/>
      <c r="F35" s="5"/>
    </row>
    <row r="36" ht="15">
      <c r="F36" s="12"/>
    </row>
  </sheetData>
  <sheetProtection sheet="1" objects="1" scenarios="1" insertRows="0"/>
  <dataValidations count="7">
    <dataValidation allowBlank="1" showInputMessage="1" showErrorMessage="1" promptTitle="Name of Eligibility Change" prompt="Enter the name of each eligibility change from Part 1 in this column." sqref="A6"/>
    <dataValidation allowBlank="1" showInputMessage="1" showErrorMessage="1" promptTitle="Impact" prompt="Enter the impact of the change in column A. Be sure the sign is correct." sqref="B6"/>
    <dataValidation allowBlank="1" showInputMessage="1" showErrorMessage="1" promptTitle="Use average monthly caseload" prompt="All caseloads on this page should reflect average monthly data." sqref="E6"/>
    <dataValidation allowBlank="1" showInputMessage="1" showErrorMessage="1" promptTitle="Cases Funded with Excess MOE" prompt="Do NOT enter data here.  The number of cases funded with Excess MOE will automatcially appear using the data from the Excess MOE Worksheet.  If you have not already done so, complete the Excess MOE Worksheet. " sqref="E12"/>
    <dataValidation allowBlank="1" showInputMessage="1" showErrorMessage="1" promptTitle="State Name" prompt="State name appears automatically when entered on the Calculation Worksheet in cell A1." sqref="A1"/>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E2"/>
  </dataValidations>
  <printOptions gridLines="1" headings="1" horizontalCentered="1"/>
  <pageMargins left="0.25" right="0.25" top="1.25" bottom="0.25" header="0.5" footer="0.5"/>
  <pageSetup fitToHeight="0" fitToWidth="1" horizontalDpi="600" verticalDpi="600" orientation="portrait" scale="93" r:id="rId1"/>
  <headerFooter alignWithMargins="0">
    <oddHeader>&amp;C&amp;"Arial,Bold"&amp;12FORM ACF-202 – TANF CASELOAD REDUCTION REPORT
Two-Parent Credit</oddHeader>
    <oddFooter xml:space="preserve">&amp;LOMB Approval No.:  0970-0338  &amp;RExpiration Date:  04/30/2011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J38" sqref="J38"/>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61" t="str">
        <f>IF('Calculation Worksheet'!A1="State?","",'Calculation Worksheet'!A1)</f>
        <v>State - Maine</v>
      </c>
      <c r="B1" s="18"/>
      <c r="C1" s="18"/>
      <c r="D1" s="18"/>
      <c r="E1" s="18"/>
      <c r="F1" s="18"/>
      <c r="G1" s="18"/>
      <c r="H1" s="18"/>
      <c r="I1" s="18"/>
      <c r="J1" s="18"/>
      <c r="K1" s="18"/>
      <c r="L1" s="18"/>
      <c r="M1" s="18"/>
      <c r="N1" s="18"/>
    </row>
    <row r="2" spans="1:14" ht="15.75">
      <c r="A2" s="117" t="s">
        <v>55</v>
      </c>
      <c r="B2" s="20"/>
      <c r="C2" s="18"/>
      <c r="D2" s="18"/>
      <c r="E2" s="18"/>
      <c r="F2" s="18"/>
      <c r="G2" s="18"/>
      <c r="H2" s="18"/>
      <c r="I2" s="18"/>
      <c r="J2" s="18"/>
      <c r="K2" s="18"/>
      <c r="L2" s="18"/>
      <c r="M2" s="18"/>
      <c r="N2" s="18"/>
    </row>
    <row r="3" spans="1:14" ht="15.75">
      <c r="A3" s="21"/>
      <c r="B3" s="20"/>
      <c r="C3" s="18"/>
      <c r="D3" s="18"/>
      <c r="E3" s="18"/>
      <c r="F3" s="18"/>
      <c r="G3" s="18"/>
      <c r="H3" s="18"/>
      <c r="I3" s="18"/>
      <c r="J3" s="18"/>
      <c r="K3" s="18"/>
      <c r="L3" s="135" t="s">
        <v>52</v>
      </c>
      <c r="M3" s="137">
        <f>IF('Calculation Worksheet'!E2="","",'Calculation Worksheet'!E2)</f>
        <v>41572</v>
      </c>
      <c r="N3" s="18"/>
    </row>
    <row r="4" spans="1:14" ht="15.75">
      <c r="A4" s="22"/>
      <c r="B4" s="120" t="str">
        <f>IF('Calculation Worksheet'!F1="","Impact on Each Month in FY ?","Impact on Each Month in FY "&amp;'Calculation Worksheet'!F1-1)</f>
        <v>Impact on Each Month in FY 2013</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10">
        <v>-13</v>
      </c>
      <c r="C7" s="111">
        <v>-25</v>
      </c>
      <c r="D7" s="111">
        <v>-14</v>
      </c>
      <c r="E7" s="111">
        <v>-11</v>
      </c>
      <c r="F7" s="111">
        <v>-26</v>
      </c>
      <c r="G7" s="111">
        <v>-12</v>
      </c>
      <c r="H7" s="111">
        <v>-28</v>
      </c>
      <c r="I7" s="111">
        <v>-15</v>
      </c>
      <c r="J7" s="111">
        <v>-18</v>
      </c>
      <c r="K7" s="111">
        <v>-12</v>
      </c>
      <c r="L7" s="111">
        <v>-15</v>
      </c>
      <c r="M7" s="112">
        <v>-16</v>
      </c>
      <c r="N7" s="27"/>
    </row>
    <row r="8" spans="1:14" ht="15">
      <c r="A8" s="34" t="s">
        <v>20</v>
      </c>
      <c r="B8" s="113">
        <v>-91</v>
      </c>
      <c r="C8" s="114">
        <v>0</v>
      </c>
      <c r="D8" s="114">
        <v>-1</v>
      </c>
      <c r="E8" s="114">
        <v>-3</v>
      </c>
      <c r="F8" s="114">
        <v>-2</v>
      </c>
      <c r="G8" s="114">
        <v>-3</v>
      </c>
      <c r="H8" s="114">
        <v>-4</v>
      </c>
      <c r="I8" s="114">
        <v>-3</v>
      </c>
      <c r="J8" s="114">
        <v>-7</v>
      </c>
      <c r="K8" s="114">
        <v>-2</v>
      </c>
      <c r="L8" s="114">
        <v>-2</v>
      </c>
      <c r="M8" s="115">
        <v>-1</v>
      </c>
      <c r="N8" s="35"/>
    </row>
    <row r="9" spans="1:14" ht="15">
      <c r="A9" s="35" t="s">
        <v>6</v>
      </c>
      <c r="B9" s="121"/>
      <c r="C9" s="114">
        <v>-119</v>
      </c>
      <c r="D9" s="114">
        <v>-1</v>
      </c>
      <c r="E9" s="114">
        <v>-3</v>
      </c>
      <c r="F9" s="114">
        <v>-3</v>
      </c>
      <c r="G9" s="114">
        <v>-4</v>
      </c>
      <c r="H9" s="114">
        <v>-3</v>
      </c>
      <c r="I9" s="114">
        <v>-8</v>
      </c>
      <c r="J9" s="114">
        <v>-6</v>
      </c>
      <c r="K9" s="114">
        <v>-3</v>
      </c>
      <c r="L9" s="114">
        <v>-2</v>
      </c>
      <c r="M9" s="115">
        <v>-5</v>
      </c>
      <c r="N9" s="35"/>
    </row>
    <row r="10" spans="1:14" ht="15">
      <c r="A10" s="35" t="s">
        <v>7</v>
      </c>
      <c r="B10" s="121"/>
      <c r="C10" s="123"/>
      <c r="D10" s="114">
        <v>-100</v>
      </c>
      <c r="E10" s="114">
        <v>0</v>
      </c>
      <c r="F10" s="114">
        <v>-1</v>
      </c>
      <c r="G10" s="114">
        <v>-1</v>
      </c>
      <c r="H10" s="114">
        <v>-4</v>
      </c>
      <c r="I10" s="114">
        <v>-4</v>
      </c>
      <c r="J10" s="114">
        <v>-2</v>
      </c>
      <c r="K10" s="114">
        <v>-1</v>
      </c>
      <c r="L10" s="114">
        <v>0</v>
      </c>
      <c r="M10" s="115">
        <v>-2</v>
      </c>
      <c r="N10" s="35"/>
    </row>
    <row r="11" spans="1:14" ht="15">
      <c r="A11" s="34" t="s">
        <v>21</v>
      </c>
      <c r="B11" s="121"/>
      <c r="C11" s="123"/>
      <c r="D11" s="123"/>
      <c r="E11" s="114">
        <v>-77</v>
      </c>
      <c r="F11" s="114">
        <v>0</v>
      </c>
      <c r="G11" s="114">
        <v>-1</v>
      </c>
      <c r="H11" s="114">
        <v>-4</v>
      </c>
      <c r="I11" s="114">
        <v>-4</v>
      </c>
      <c r="J11" s="114">
        <v>-1</v>
      </c>
      <c r="K11" s="114">
        <v>-2</v>
      </c>
      <c r="L11" s="114">
        <v>-3</v>
      </c>
      <c r="M11" s="115">
        <v>-3</v>
      </c>
      <c r="N11" s="35"/>
    </row>
    <row r="12" spans="1:14" ht="15">
      <c r="A12" s="36" t="s">
        <v>8</v>
      </c>
      <c r="B12" s="121"/>
      <c r="C12" s="123"/>
      <c r="D12" s="123"/>
      <c r="E12" s="123"/>
      <c r="F12" s="114">
        <v>-91</v>
      </c>
      <c r="G12" s="114">
        <v>0</v>
      </c>
      <c r="H12" s="114">
        <v>-2</v>
      </c>
      <c r="I12" s="114">
        <v>-2</v>
      </c>
      <c r="J12" s="114">
        <v>-3</v>
      </c>
      <c r="K12" s="114">
        <v>0</v>
      </c>
      <c r="L12" s="114">
        <v>-3</v>
      </c>
      <c r="M12" s="115">
        <v>-3</v>
      </c>
      <c r="N12" s="35"/>
    </row>
    <row r="13" spans="1:14" ht="15">
      <c r="A13" s="35" t="s">
        <v>9</v>
      </c>
      <c r="B13" s="121"/>
      <c r="C13" s="123"/>
      <c r="D13" s="123"/>
      <c r="E13" s="123"/>
      <c r="F13" s="123"/>
      <c r="G13" s="114">
        <v>-89</v>
      </c>
      <c r="H13" s="114">
        <v>0</v>
      </c>
      <c r="I13" s="114">
        <v>-2</v>
      </c>
      <c r="J13" s="114">
        <v>-5</v>
      </c>
      <c r="K13" s="114">
        <v>-2</v>
      </c>
      <c r="L13" s="114">
        <v>-4</v>
      </c>
      <c r="M13" s="115">
        <v>-2</v>
      </c>
      <c r="N13" s="35"/>
    </row>
    <row r="14" spans="1:14" ht="15">
      <c r="A14" s="35" t="s">
        <v>10</v>
      </c>
      <c r="B14" s="121"/>
      <c r="C14" s="123"/>
      <c r="D14" s="123"/>
      <c r="E14" s="123"/>
      <c r="F14" s="123"/>
      <c r="G14" s="123"/>
      <c r="H14" s="114">
        <v>-99</v>
      </c>
      <c r="I14" s="114">
        <v>0</v>
      </c>
      <c r="J14" s="114">
        <v>-3</v>
      </c>
      <c r="K14" s="114">
        <v>-4</v>
      </c>
      <c r="L14" s="114">
        <v>-4</v>
      </c>
      <c r="M14" s="115">
        <v>-1</v>
      </c>
      <c r="N14" s="35"/>
    </row>
    <row r="15" spans="1:14" ht="15">
      <c r="A15" s="35" t="s">
        <v>11</v>
      </c>
      <c r="B15" s="121"/>
      <c r="C15" s="123"/>
      <c r="D15" s="123"/>
      <c r="E15" s="123"/>
      <c r="F15" s="123"/>
      <c r="G15" s="123"/>
      <c r="H15" s="123"/>
      <c r="I15" s="114">
        <v>-111</v>
      </c>
      <c r="J15" s="114">
        <v>-1</v>
      </c>
      <c r="K15" s="114">
        <v>-6</v>
      </c>
      <c r="L15" s="114">
        <v>-1</v>
      </c>
      <c r="M15" s="115">
        <v>-2</v>
      </c>
      <c r="N15" s="35"/>
    </row>
    <row r="16" spans="1:14" ht="15">
      <c r="A16" s="35" t="s">
        <v>12</v>
      </c>
      <c r="B16" s="121"/>
      <c r="C16" s="123"/>
      <c r="D16" s="123"/>
      <c r="E16" s="123"/>
      <c r="F16" s="123"/>
      <c r="G16" s="123"/>
      <c r="H16" s="123"/>
      <c r="I16" s="123"/>
      <c r="J16" s="114">
        <v>-108</v>
      </c>
      <c r="K16" s="114">
        <v>0</v>
      </c>
      <c r="L16" s="114">
        <v>-3</v>
      </c>
      <c r="M16" s="115">
        <v>-4</v>
      </c>
      <c r="N16" s="35"/>
    </row>
    <row r="17" spans="1:14" ht="15">
      <c r="A17" s="35" t="s">
        <v>13</v>
      </c>
      <c r="B17" s="121"/>
      <c r="C17" s="123"/>
      <c r="D17" s="123"/>
      <c r="E17" s="123"/>
      <c r="F17" s="123"/>
      <c r="G17" s="123"/>
      <c r="H17" s="123"/>
      <c r="I17" s="123"/>
      <c r="J17" s="123"/>
      <c r="K17" s="114">
        <v>-104</v>
      </c>
      <c r="L17" s="114">
        <v>-1</v>
      </c>
      <c r="M17" s="115">
        <v>-4</v>
      </c>
      <c r="N17" s="35"/>
    </row>
    <row r="18" spans="1:14" ht="15">
      <c r="A18" s="35" t="s">
        <v>14</v>
      </c>
      <c r="B18" s="121"/>
      <c r="C18" s="123"/>
      <c r="D18" s="123"/>
      <c r="E18" s="123"/>
      <c r="F18" s="123"/>
      <c r="G18" s="123"/>
      <c r="H18" s="123"/>
      <c r="I18" s="123"/>
      <c r="J18" s="123"/>
      <c r="K18" s="123"/>
      <c r="L18" s="114">
        <v>-102</v>
      </c>
      <c r="M18" s="115">
        <v>-1</v>
      </c>
      <c r="N18" s="35"/>
    </row>
    <row r="19" spans="1:14" ht="15">
      <c r="A19" s="39" t="s">
        <v>15</v>
      </c>
      <c r="B19" s="122"/>
      <c r="C19" s="124"/>
      <c r="D19" s="124"/>
      <c r="E19" s="124"/>
      <c r="F19" s="124"/>
      <c r="G19" s="124"/>
      <c r="H19" s="124"/>
      <c r="I19" s="124"/>
      <c r="J19" s="124"/>
      <c r="K19" s="124"/>
      <c r="L19" s="124"/>
      <c r="M19" s="116">
        <v>-83</v>
      </c>
      <c r="N19" s="37" t="s">
        <v>17</v>
      </c>
    </row>
    <row r="20" spans="1:14" ht="15">
      <c r="A20" s="35"/>
      <c r="B20" s="57"/>
      <c r="C20" s="58"/>
      <c r="D20" s="58"/>
      <c r="E20" s="58"/>
      <c r="F20" s="58"/>
      <c r="G20" s="58"/>
      <c r="H20" s="58"/>
      <c r="I20" s="58"/>
      <c r="J20" s="58"/>
      <c r="K20" s="58"/>
      <c r="L20" s="58"/>
      <c r="M20" s="58"/>
      <c r="N20" s="38" t="s">
        <v>18</v>
      </c>
    </row>
    <row r="21" spans="1:14" ht="15">
      <c r="A21" s="39" t="s">
        <v>18</v>
      </c>
      <c r="B21" s="40">
        <f aca="true" t="shared" si="0" ref="B21:M21">SUM(B7:B19)</f>
        <v>-104</v>
      </c>
      <c r="C21" s="41">
        <f t="shared" si="0"/>
        <v>-144</v>
      </c>
      <c r="D21" s="41">
        <f t="shared" si="0"/>
        <v>-116</v>
      </c>
      <c r="E21" s="41">
        <f t="shared" si="0"/>
        <v>-94</v>
      </c>
      <c r="F21" s="41">
        <f t="shared" si="0"/>
        <v>-123</v>
      </c>
      <c r="G21" s="41">
        <f t="shared" si="0"/>
        <v>-110</v>
      </c>
      <c r="H21" s="41">
        <f t="shared" si="0"/>
        <v>-144</v>
      </c>
      <c r="I21" s="41">
        <f t="shared" si="0"/>
        <v>-149</v>
      </c>
      <c r="J21" s="59">
        <f t="shared" si="0"/>
        <v>-154</v>
      </c>
      <c r="K21" s="41">
        <f t="shared" si="0"/>
        <v>-136</v>
      </c>
      <c r="L21" s="41">
        <f t="shared" si="0"/>
        <v>-140</v>
      </c>
      <c r="M21" s="42">
        <f t="shared" si="0"/>
        <v>-127</v>
      </c>
      <c r="N21" s="43">
        <f>SUM(B21:M21)</f>
        <v>-1541</v>
      </c>
    </row>
    <row r="22" spans="1:14" ht="15">
      <c r="A22" s="44"/>
      <c r="B22" s="45"/>
      <c r="C22" s="45"/>
      <c r="D22" s="45"/>
      <c r="E22" s="45"/>
      <c r="F22" s="45"/>
      <c r="G22" s="45"/>
      <c r="H22" s="45"/>
      <c r="I22" s="45"/>
      <c r="J22" s="45"/>
      <c r="K22" s="45"/>
      <c r="L22" s="45"/>
      <c r="M22" s="45"/>
      <c r="N22" s="46"/>
    </row>
    <row r="23" spans="1:14" ht="15">
      <c r="A23" s="47"/>
      <c r="B23" s="48"/>
      <c r="C23" s="48"/>
      <c r="D23" s="48"/>
      <c r="E23" s="48"/>
      <c r="F23" s="48"/>
      <c r="G23" s="48"/>
      <c r="H23" s="48"/>
      <c r="I23" s="48"/>
      <c r="J23" s="48"/>
      <c r="K23" s="48"/>
      <c r="L23" s="48"/>
      <c r="M23" s="119" t="str">
        <f>IF('Calculation Worksheet'!F1="","FY ? monthly average","FY "&amp;'Calculation Worksheet'!F1-1&amp;" monthly average")</f>
        <v>FY 2013 monthly average</v>
      </c>
      <c r="N23" s="42">
        <f>N21/12</f>
        <v>-128.41666666666666</v>
      </c>
    </row>
    <row r="24" ht="15">
      <c r="N24" s="49"/>
    </row>
    <row r="25" ht="15">
      <c r="N25" s="49"/>
    </row>
    <row r="26" spans="1:14" ht="15.75">
      <c r="A26" s="50"/>
      <c r="B26" s="51"/>
      <c r="C26" s="51"/>
      <c r="D26" s="51"/>
      <c r="E26" s="51"/>
      <c r="F26" s="51"/>
      <c r="G26" s="51"/>
      <c r="H26" s="51"/>
      <c r="I26" s="51"/>
      <c r="J26" s="51"/>
      <c r="K26" s="51"/>
      <c r="L26" s="51"/>
      <c r="M26" s="51"/>
      <c r="N26" s="51"/>
    </row>
    <row r="28" spans="1:14" ht="15">
      <c r="A28" s="28"/>
      <c r="B28" s="52"/>
      <c r="C28" s="53"/>
      <c r="D28" s="53"/>
      <c r="E28" s="52"/>
      <c r="F28" s="52"/>
      <c r="G28" s="53"/>
      <c r="H28" s="53"/>
      <c r="I28" s="53"/>
      <c r="J28" s="53"/>
      <c r="K28" s="53"/>
      <c r="L28" s="53"/>
      <c r="M28" s="53"/>
      <c r="N28" s="28"/>
    </row>
    <row r="29" spans="2:13" ht="15">
      <c r="B29" s="49"/>
      <c r="C29" s="49"/>
      <c r="D29" s="49"/>
      <c r="E29" s="49"/>
      <c r="F29" s="49"/>
      <c r="G29" s="49"/>
      <c r="H29" s="49"/>
      <c r="I29" s="49"/>
      <c r="J29" s="49"/>
      <c r="K29" s="49"/>
      <c r="L29" s="49"/>
      <c r="M29" s="49"/>
    </row>
    <row r="30" spans="1:13" ht="15">
      <c r="A30" s="54"/>
      <c r="B30" s="49"/>
      <c r="C30" s="49"/>
      <c r="D30" s="49"/>
      <c r="E30" s="49"/>
      <c r="F30" s="49"/>
      <c r="G30" s="49"/>
      <c r="H30" s="49"/>
      <c r="I30" s="49"/>
      <c r="J30" s="49"/>
      <c r="K30" s="49"/>
      <c r="L30" s="49"/>
      <c r="M30" s="49"/>
    </row>
    <row r="31" spans="2:13" ht="15">
      <c r="B31" s="49"/>
      <c r="C31" s="49"/>
      <c r="D31" s="49"/>
      <c r="E31" s="49"/>
      <c r="F31" s="49"/>
      <c r="G31" s="49"/>
      <c r="H31" s="49"/>
      <c r="I31" s="49"/>
      <c r="J31" s="49"/>
      <c r="K31" s="49"/>
      <c r="L31" s="49"/>
      <c r="M31" s="49"/>
    </row>
    <row r="32" spans="2:13" ht="15">
      <c r="B32" s="49"/>
      <c r="C32" s="49"/>
      <c r="D32" s="49"/>
      <c r="E32" s="49"/>
      <c r="F32" s="49"/>
      <c r="G32" s="49"/>
      <c r="H32" s="49"/>
      <c r="I32" s="49"/>
      <c r="J32" s="49"/>
      <c r="K32" s="49"/>
      <c r="L32" s="49"/>
      <c r="M32" s="49"/>
    </row>
    <row r="33" spans="1:13" ht="15">
      <c r="A33" s="54"/>
      <c r="B33" s="49"/>
      <c r="C33" s="49"/>
      <c r="D33" s="49"/>
      <c r="E33" s="49"/>
      <c r="F33" s="49"/>
      <c r="G33" s="49"/>
      <c r="H33" s="49"/>
      <c r="I33" s="49"/>
      <c r="J33" s="49"/>
      <c r="K33" s="49"/>
      <c r="L33" s="49"/>
      <c r="M33" s="49"/>
    </row>
    <row r="34" spans="1:13" ht="15">
      <c r="A34" s="55"/>
      <c r="B34" s="49"/>
      <c r="C34" s="49"/>
      <c r="D34" s="49"/>
      <c r="E34" s="49"/>
      <c r="F34" s="49"/>
      <c r="G34" s="49"/>
      <c r="H34" s="49"/>
      <c r="I34" s="49"/>
      <c r="J34" s="49"/>
      <c r="K34" s="49"/>
      <c r="L34" s="49"/>
      <c r="M34" s="49"/>
    </row>
    <row r="35" spans="2:13" ht="15">
      <c r="B35" s="49"/>
      <c r="C35" s="49"/>
      <c r="D35" s="49"/>
      <c r="E35" s="49"/>
      <c r="F35" s="49"/>
      <c r="G35" s="49"/>
      <c r="H35" s="49"/>
      <c r="I35" s="49"/>
      <c r="J35" s="49"/>
      <c r="K35" s="49"/>
      <c r="L35" s="49"/>
      <c r="M35" s="49"/>
    </row>
    <row r="36" spans="2:13" ht="15">
      <c r="B36" s="49"/>
      <c r="C36" s="49"/>
      <c r="D36" s="49"/>
      <c r="E36" s="49"/>
      <c r="F36" s="49"/>
      <c r="G36" s="49"/>
      <c r="H36" s="49"/>
      <c r="I36" s="49"/>
      <c r="J36" s="49"/>
      <c r="K36" s="49"/>
      <c r="L36" s="49"/>
      <c r="M36" s="49"/>
    </row>
    <row r="37" spans="2:13" ht="15">
      <c r="B37" s="49"/>
      <c r="C37" s="49"/>
      <c r="D37" s="49"/>
      <c r="E37" s="49"/>
      <c r="F37" s="49"/>
      <c r="G37" s="49"/>
      <c r="H37" s="49"/>
      <c r="I37" s="49"/>
      <c r="J37" s="49"/>
      <c r="K37" s="49"/>
      <c r="L37" s="49"/>
      <c r="M37" s="49"/>
    </row>
    <row r="38" spans="2:13" ht="15">
      <c r="B38" s="49"/>
      <c r="C38" s="49"/>
      <c r="D38" s="49"/>
      <c r="E38" s="49"/>
      <c r="F38" s="49"/>
      <c r="G38" s="49"/>
      <c r="H38" s="49"/>
      <c r="I38" s="49"/>
      <c r="J38" s="49"/>
      <c r="K38" s="49"/>
      <c r="L38" s="49"/>
      <c r="M38" s="49"/>
    </row>
    <row r="39" spans="2:13" ht="15">
      <c r="B39" s="49"/>
      <c r="C39" s="49"/>
      <c r="D39" s="49"/>
      <c r="E39" s="49"/>
      <c r="F39" s="49"/>
      <c r="G39" s="49"/>
      <c r="H39" s="49"/>
      <c r="I39" s="49"/>
      <c r="J39" s="49"/>
      <c r="K39" s="49"/>
      <c r="L39" s="49"/>
      <c r="M39" s="49"/>
    </row>
    <row r="40" spans="2:13" ht="15">
      <c r="B40" s="49"/>
      <c r="C40" s="49"/>
      <c r="D40" s="49"/>
      <c r="E40" s="49"/>
      <c r="F40" s="49"/>
      <c r="G40" s="49"/>
      <c r="H40" s="49"/>
      <c r="I40" s="49"/>
      <c r="J40" s="49"/>
      <c r="K40" s="49"/>
      <c r="L40" s="49"/>
      <c r="M40" s="49"/>
    </row>
    <row r="41" spans="2:14" ht="15">
      <c r="B41" s="49"/>
      <c r="C41" s="49"/>
      <c r="D41" s="49"/>
      <c r="E41" s="49"/>
      <c r="F41" s="49"/>
      <c r="G41" s="49"/>
      <c r="H41" s="49"/>
      <c r="I41" s="49"/>
      <c r="J41" s="49"/>
      <c r="K41" s="49"/>
      <c r="L41" s="49"/>
      <c r="M41" s="49"/>
      <c r="N41" s="56"/>
    </row>
    <row r="42" spans="2:14" ht="15">
      <c r="B42" s="49"/>
      <c r="C42" s="49"/>
      <c r="D42" s="49"/>
      <c r="E42" s="49"/>
      <c r="F42" s="49"/>
      <c r="G42" s="49"/>
      <c r="H42" s="49"/>
      <c r="I42" s="49"/>
      <c r="J42" s="49"/>
      <c r="K42" s="49"/>
      <c r="L42" s="49"/>
      <c r="M42" s="49"/>
      <c r="N42" s="49"/>
    </row>
    <row r="44" ht="15">
      <c r="N44" s="49"/>
    </row>
  </sheetData>
  <sheetProtection sheet="1" objects="1" scenarios="1"/>
  <dataValidations count="2">
    <dataValidation allowBlank="1" showInputMessage="1" showErrorMessage="1" promptTitle="State Name" prompt="State name appears automatically when entered on the Calculation &#10;Worksheet in cell A1." sqref="A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04/30/2011</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4"/>
  <sheetViews>
    <sheetView zoomScale="75" zoomScaleNormal="75" zoomScaleSheetLayoutView="80" zoomScalePageLayoutView="0" workbookViewId="0" topLeftCell="A1">
      <selection activeCell="M27" sqref="M27"/>
    </sheetView>
  </sheetViews>
  <sheetFormatPr defaultColWidth="11.421875" defaultRowHeight="12.75"/>
  <cols>
    <col min="1" max="1" width="23.00390625" style="19" bestFit="1" customWidth="1"/>
    <col min="2" max="14" width="10.00390625" style="19" customWidth="1"/>
    <col min="15" max="16384" width="11.421875" style="19" customWidth="1"/>
  </cols>
  <sheetData>
    <row r="1" spans="1:14" ht="21.75" customHeight="1">
      <c r="A1" s="61" t="str">
        <f>IF('Calculation Worksheet'!A1="State?","",'Calculation Worksheet'!A1)</f>
        <v>State - Maine</v>
      </c>
      <c r="B1" s="18"/>
      <c r="C1" s="18"/>
      <c r="D1" s="18"/>
      <c r="E1" s="18"/>
      <c r="F1" s="18"/>
      <c r="G1" s="18"/>
      <c r="H1" s="18"/>
      <c r="I1" s="18"/>
      <c r="J1" s="18"/>
      <c r="K1" s="18"/>
      <c r="L1" s="18"/>
      <c r="M1" s="18"/>
      <c r="N1" s="18"/>
    </row>
    <row r="2" spans="1:14" ht="15.75">
      <c r="A2" s="117" t="s">
        <v>57</v>
      </c>
      <c r="B2" s="20"/>
      <c r="C2" s="18"/>
      <c r="D2" s="18"/>
      <c r="E2" s="18"/>
      <c r="F2" s="18"/>
      <c r="G2" s="18"/>
      <c r="H2" s="18"/>
      <c r="I2" s="18"/>
      <c r="J2" s="18"/>
      <c r="K2" s="18"/>
      <c r="L2" s="18"/>
      <c r="M2" s="18"/>
      <c r="N2" s="18"/>
    </row>
    <row r="3" spans="1:14" ht="15.75">
      <c r="A3" s="21"/>
      <c r="B3" s="20"/>
      <c r="C3" s="18"/>
      <c r="D3" s="18"/>
      <c r="E3" s="18"/>
      <c r="F3" s="18"/>
      <c r="G3" s="18"/>
      <c r="H3" s="18"/>
      <c r="I3" s="18"/>
      <c r="J3" s="18"/>
      <c r="K3" s="18"/>
      <c r="L3" s="135" t="s">
        <v>52</v>
      </c>
      <c r="M3" s="137">
        <f>IF('Calculation Worksheet'!E2="","",'Calculation Worksheet'!E2)</f>
        <v>41572</v>
      </c>
      <c r="N3" s="18"/>
    </row>
    <row r="4" spans="1:14" ht="15.75">
      <c r="A4" s="22"/>
      <c r="B4" s="120" t="str">
        <f>IF('Calculation Worksheet'!F1="","Impact on Each Month in FY ?","Impact on Each Month in FY "&amp;'Calculation Worksheet'!F1-1)</f>
        <v>Impact on Each Month in FY 2013</v>
      </c>
      <c r="C4" s="23"/>
      <c r="D4" s="23"/>
      <c r="E4" s="23"/>
      <c r="F4" s="23"/>
      <c r="G4" s="23"/>
      <c r="H4" s="23"/>
      <c r="I4" s="23"/>
      <c r="J4" s="23"/>
      <c r="K4" s="23"/>
      <c r="L4" s="23"/>
      <c r="M4" s="24"/>
      <c r="N4" s="25"/>
    </row>
    <row r="5" spans="1:14" s="28" customFormat="1" ht="19.5" customHeight="1">
      <c r="A5" s="26"/>
      <c r="B5" s="14" t="s">
        <v>20</v>
      </c>
      <c r="C5" s="15" t="s">
        <v>6</v>
      </c>
      <c r="D5" s="15" t="s">
        <v>7</v>
      </c>
      <c r="E5" s="16" t="s">
        <v>21</v>
      </c>
      <c r="F5" s="16" t="s">
        <v>8</v>
      </c>
      <c r="G5" s="15" t="s">
        <v>9</v>
      </c>
      <c r="H5" s="15" t="s">
        <v>10</v>
      </c>
      <c r="I5" s="15" t="s">
        <v>11</v>
      </c>
      <c r="J5" s="15" t="s">
        <v>12</v>
      </c>
      <c r="K5" s="15" t="s">
        <v>13</v>
      </c>
      <c r="L5" s="15" t="s">
        <v>14</v>
      </c>
      <c r="M5" s="17" t="s">
        <v>15</v>
      </c>
      <c r="N5" s="27"/>
    </row>
    <row r="6" spans="1:14" s="28" customFormat="1" ht="17.25" customHeight="1">
      <c r="A6" s="13" t="s">
        <v>16</v>
      </c>
      <c r="B6" s="29"/>
      <c r="C6" s="30"/>
      <c r="D6" s="30"/>
      <c r="E6" s="31"/>
      <c r="F6" s="31"/>
      <c r="G6" s="30"/>
      <c r="H6" s="30"/>
      <c r="I6" s="30"/>
      <c r="J6" s="30"/>
      <c r="K6" s="30"/>
      <c r="L6" s="30"/>
      <c r="M6" s="32"/>
      <c r="N6" s="27"/>
    </row>
    <row r="7" spans="1:14" s="28" customFormat="1" ht="17.25" customHeight="1">
      <c r="A7" s="33" t="s">
        <v>19</v>
      </c>
      <c r="B7" s="110">
        <v>18665</v>
      </c>
      <c r="C7" s="111">
        <v>17594</v>
      </c>
      <c r="D7" s="111">
        <v>16716</v>
      </c>
      <c r="E7" s="111">
        <v>15887</v>
      </c>
      <c r="F7" s="111">
        <v>15300</v>
      </c>
      <c r="G7" s="111">
        <v>14667</v>
      </c>
      <c r="H7" s="111">
        <v>14167</v>
      </c>
      <c r="I7" s="111">
        <v>13884</v>
      </c>
      <c r="J7" s="111">
        <v>13586</v>
      </c>
      <c r="K7" s="111">
        <v>13226</v>
      </c>
      <c r="L7" s="111">
        <v>12841</v>
      </c>
      <c r="M7" s="112">
        <v>12510</v>
      </c>
      <c r="N7" s="27"/>
    </row>
    <row r="8" spans="1:14" ht="15">
      <c r="A8" s="34" t="s">
        <v>20</v>
      </c>
      <c r="B8" s="113">
        <v>1416</v>
      </c>
      <c r="C8" s="114">
        <v>1208</v>
      </c>
      <c r="D8" s="114">
        <v>1115</v>
      </c>
      <c r="E8" s="114">
        <v>1037</v>
      </c>
      <c r="F8" s="114">
        <v>992</v>
      </c>
      <c r="G8" s="114">
        <v>866</v>
      </c>
      <c r="H8" s="114">
        <v>772</v>
      </c>
      <c r="I8" s="114">
        <v>739</v>
      </c>
      <c r="J8" s="114">
        <v>729</v>
      </c>
      <c r="K8" s="114">
        <v>709</v>
      </c>
      <c r="L8" s="114">
        <v>697</v>
      </c>
      <c r="M8" s="115">
        <v>683</v>
      </c>
      <c r="N8" s="35"/>
    </row>
    <row r="9" spans="1:14" ht="15">
      <c r="A9" s="35" t="s">
        <v>6</v>
      </c>
      <c r="B9" s="121"/>
      <c r="C9" s="114">
        <v>1187</v>
      </c>
      <c r="D9" s="114">
        <v>1019</v>
      </c>
      <c r="E9" s="114">
        <v>926</v>
      </c>
      <c r="F9" s="114">
        <v>882</v>
      </c>
      <c r="G9" s="114">
        <v>823</v>
      </c>
      <c r="H9" s="114">
        <v>726</v>
      </c>
      <c r="I9" s="114">
        <v>680</v>
      </c>
      <c r="J9" s="114">
        <v>647</v>
      </c>
      <c r="K9" s="114">
        <v>640</v>
      </c>
      <c r="L9" s="114">
        <v>611</v>
      </c>
      <c r="M9" s="115">
        <v>599</v>
      </c>
      <c r="N9" s="35"/>
    </row>
    <row r="10" spans="1:14" ht="15">
      <c r="A10" s="35" t="s">
        <v>7</v>
      </c>
      <c r="B10" s="121"/>
      <c r="C10" s="123"/>
      <c r="D10" s="114">
        <v>1033</v>
      </c>
      <c r="E10" s="114">
        <v>849</v>
      </c>
      <c r="F10" s="114">
        <v>787</v>
      </c>
      <c r="G10" s="114">
        <v>739</v>
      </c>
      <c r="H10" s="114">
        <v>704</v>
      </c>
      <c r="I10" s="114">
        <v>637</v>
      </c>
      <c r="J10" s="114">
        <v>584</v>
      </c>
      <c r="K10" s="114">
        <v>554</v>
      </c>
      <c r="L10" s="114">
        <v>548</v>
      </c>
      <c r="M10" s="115">
        <v>537</v>
      </c>
      <c r="N10" s="35"/>
    </row>
    <row r="11" spans="1:14" ht="15">
      <c r="A11" s="34" t="s">
        <v>21</v>
      </c>
      <c r="B11" s="121"/>
      <c r="C11" s="123"/>
      <c r="D11" s="123"/>
      <c r="E11" s="114">
        <v>1067</v>
      </c>
      <c r="F11" s="114">
        <v>932</v>
      </c>
      <c r="G11" s="114">
        <v>849</v>
      </c>
      <c r="H11" s="114">
        <v>801</v>
      </c>
      <c r="I11" s="114">
        <v>751</v>
      </c>
      <c r="J11" s="114">
        <v>673</v>
      </c>
      <c r="K11" s="114">
        <v>592</v>
      </c>
      <c r="L11" s="114">
        <v>572</v>
      </c>
      <c r="M11" s="115">
        <v>551</v>
      </c>
      <c r="N11" s="35"/>
    </row>
    <row r="12" spans="1:14" ht="15">
      <c r="A12" s="36" t="s">
        <v>8</v>
      </c>
      <c r="B12" s="121"/>
      <c r="C12" s="123"/>
      <c r="D12" s="123"/>
      <c r="E12" s="123"/>
      <c r="F12" s="114">
        <v>979</v>
      </c>
      <c r="G12" s="114">
        <v>861</v>
      </c>
      <c r="H12" s="114">
        <v>798</v>
      </c>
      <c r="I12" s="114">
        <v>752</v>
      </c>
      <c r="J12" s="114">
        <v>721</v>
      </c>
      <c r="K12" s="114">
        <v>647</v>
      </c>
      <c r="L12" s="114">
        <v>568</v>
      </c>
      <c r="M12" s="115">
        <v>549</v>
      </c>
      <c r="N12" s="35"/>
    </row>
    <row r="13" spans="1:14" ht="15">
      <c r="A13" s="35" t="s">
        <v>9</v>
      </c>
      <c r="B13" s="121"/>
      <c r="C13" s="123"/>
      <c r="D13" s="123"/>
      <c r="E13" s="123"/>
      <c r="F13" s="123"/>
      <c r="G13" s="114">
        <v>761</v>
      </c>
      <c r="H13" s="114">
        <v>639</v>
      </c>
      <c r="I13" s="114">
        <v>597</v>
      </c>
      <c r="J13" s="114">
        <v>561</v>
      </c>
      <c r="K13" s="114">
        <v>533</v>
      </c>
      <c r="L13" s="114">
        <v>501</v>
      </c>
      <c r="M13" s="115">
        <v>437</v>
      </c>
      <c r="N13" s="35"/>
    </row>
    <row r="14" spans="1:14" ht="15">
      <c r="A14" s="35" t="s">
        <v>10</v>
      </c>
      <c r="B14" s="121"/>
      <c r="C14" s="123"/>
      <c r="D14" s="123"/>
      <c r="E14" s="123"/>
      <c r="F14" s="123"/>
      <c r="G14" s="123"/>
      <c r="H14" s="114">
        <v>960</v>
      </c>
      <c r="I14" s="114">
        <v>825</v>
      </c>
      <c r="J14" s="114">
        <v>754</v>
      </c>
      <c r="K14" s="114">
        <v>715</v>
      </c>
      <c r="L14" s="114">
        <v>674</v>
      </c>
      <c r="M14" s="115">
        <v>607</v>
      </c>
      <c r="N14" s="35"/>
    </row>
    <row r="15" spans="1:14" ht="15">
      <c r="A15" s="35" t="s">
        <v>11</v>
      </c>
      <c r="B15" s="121"/>
      <c r="C15" s="123"/>
      <c r="D15" s="123"/>
      <c r="E15" s="123"/>
      <c r="F15" s="123"/>
      <c r="G15" s="123"/>
      <c r="H15" s="123"/>
      <c r="I15" s="114">
        <v>871</v>
      </c>
      <c r="J15" s="114">
        <v>746</v>
      </c>
      <c r="K15" s="114">
        <v>688</v>
      </c>
      <c r="L15" s="114">
        <v>654</v>
      </c>
      <c r="M15" s="115">
        <v>611</v>
      </c>
      <c r="N15" s="35"/>
    </row>
    <row r="16" spans="1:14" ht="15">
      <c r="A16" s="35" t="s">
        <v>12</v>
      </c>
      <c r="B16" s="121"/>
      <c r="C16" s="123"/>
      <c r="D16" s="123"/>
      <c r="E16" s="123"/>
      <c r="F16" s="123"/>
      <c r="G16" s="123"/>
      <c r="H16" s="123"/>
      <c r="I16" s="123"/>
      <c r="J16" s="114">
        <v>920</v>
      </c>
      <c r="K16" s="114">
        <v>792</v>
      </c>
      <c r="L16" s="114">
        <v>729</v>
      </c>
      <c r="M16" s="115">
        <v>691</v>
      </c>
      <c r="N16" s="35"/>
    </row>
    <row r="17" spans="1:14" ht="15">
      <c r="A17" s="35" t="s">
        <v>13</v>
      </c>
      <c r="B17" s="121"/>
      <c r="C17" s="123"/>
      <c r="D17" s="123"/>
      <c r="E17" s="123"/>
      <c r="F17" s="123"/>
      <c r="G17" s="123"/>
      <c r="H17" s="123"/>
      <c r="I17" s="123"/>
      <c r="J17" s="123"/>
      <c r="K17" s="114">
        <v>856</v>
      </c>
      <c r="L17" s="114">
        <v>715</v>
      </c>
      <c r="M17" s="115">
        <v>636</v>
      </c>
      <c r="N17" s="35"/>
    </row>
    <row r="18" spans="1:14" ht="15">
      <c r="A18" s="35" t="s">
        <v>14</v>
      </c>
      <c r="B18" s="121"/>
      <c r="C18" s="123"/>
      <c r="D18" s="123"/>
      <c r="E18" s="123"/>
      <c r="F18" s="123"/>
      <c r="G18" s="123"/>
      <c r="H18" s="123"/>
      <c r="I18" s="123"/>
      <c r="J18" s="123"/>
      <c r="K18" s="123"/>
      <c r="L18" s="114">
        <v>819</v>
      </c>
      <c r="M18" s="115">
        <v>693</v>
      </c>
      <c r="N18" s="35"/>
    </row>
    <row r="19" spans="1:14" ht="15">
      <c r="A19" s="39" t="s">
        <v>15</v>
      </c>
      <c r="B19" s="122"/>
      <c r="C19" s="124"/>
      <c r="D19" s="124"/>
      <c r="E19" s="124"/>
      <c r="F19" s="124"/>
      <c r="G19" s="124"/>
      <c r="H19" s="124"/>
      <c r="I19" s="124"/>
      <c r="J19" s="124"/>
      <c r="K19" s="124"/>
      <c r="L19" s="124"/>
      <c r="M19" s="116">
        <v>846</v>
      </c>
      <c r="N19" s="37" t="s">
        <v>17</v>
      </c>
    </row>
    <row r="20" spans="1:14" ht="15">
      <c r="A20" s="35"/>
      <c r="B20" s="57"/>
      <c r="C20" s="58"/>
      <c r="D20" s="58"/>
      <c r="E20" s="58"/>
      <c r="F20" s="58"/>
      <c r="G20" s="58"/>
      <c r="H20" s="58"/>
      <c r="I20" s="58"/>
      <c r="J20" s="58"/>
      <c r="K20" s="58"/>
      <c r="L20" s="58"/>
      <c r="M20" s="58"/>
      <c r="N20" s="38" t="s">
        <v>18</v>
      </c>
    </row>
    <row r="21" spans="1:14" ht="15">
      <c r="A21" s="39" t="s">
        <v>18</v>
      </c>
      <c r="B21" s="40">
        <f aca="true" t="shared" si="0" ref="B21:M21">SUM(B7:B19)</f>
        <v>20081</v>
      </c>
      <c r="C21" s="41">
        <f t="shared" si="0"/>
        <v>19989</v>
      </c>
      <c r="D21" s="41">
        <f t="shared" si="0"/>
        <v>19883</v>
      </c>
      <c r="E21" s="41">
        <f t="shared" si="0"/>
        <v>19766</v>
      </c>
      <c r="F21" s="41">
        <f t="shared" si="0"/>
        <v>19872</v>
      </c>
      <c r="G21" s="41">
        <f t="shared" si="0"/>
        <v>19566</v>
      </c>
      <c r="H21" s="41">
        <f t="shared" si="0"/>
        <v>19567</v>
      </c>
      <c r="I21" s="41">
        <f t="shared" si="0"/>
        <v>19736</v>
      </c>
      <c r="J21" s="59">
        <f t="shared" si="0"/>
        <v>19921</v>
      </c>
      <c r="K21" s="41">
        <f t="shared" si="0"/>
        <v>19952</v>
      </c>
      <c r="L21" s="41">
        <f t="shared" si="0"/>
        <v>19929</v>
      </c>
      <c r="M21" s="42">
        <f t="shared" si="0"/>
        <v>19950</v>
      </c>
      <c r="N21" s="43">
        <f>SUM(B21:M21)</f>
        <v>238212</v>
      </c>
    </row>
    <row r="22" spans="1:14" ht="15">
      <c r="A22" s="44"/>
      <c r="B22" s="45"/>
      <c r="C22" s="45"/>
      <c r="D22" s="45"/>
      <c r="E22" s="45"/>
      <c r="F22" s="45"/>
      <c r="G22" s="45"/>
      <c r="H22" s="45"/>
      <c r="I22" s="45"/>
      <c r="J22" s="45"/>
      <c r="K22" s="45"/>
      <c r="L22" s="45"/>
      <c r="M22" s="45"/>
      <c r="N22" s="46"/>
    </row>
    <row r="23" spans="1:14" ht="15">
      <c r="A23" s="47"/>
      <c r="B23" s="48"/>
      <c r="C23" s="48"/>
      <c r="D23" s="48"/>
      <c r="E23" s="48"/>
      <c r="F23" s="48"/>
      <c r="G23" s="48"/>
      <c r="H23" s="48"/>
      <c r="I23" s="48"/>
      <c r="J23" s="48"/>
      <c r="K23" s="48"/>
      <c r="L23" s="48"/>
      <c r="M23" s="119" t="str">
        <f>IF('Calculation Worksheet'!F1="","FY ? monthly average","FY "&amp;'Calculation Worksheet'!F1-1&amp;" monthly average")</f>
        <v>FY 2013 monthly average</v>
      </c>
      <c r="N23" s="42">
        <f>N21/12</f>
        <v>19851</v>
      </c>
    </row>
    <row r="24" ht="15">
      <c r="N24" s="49"/>
    </row>
    <row r="25" ht="15">
      <c r="N25" s="49"/>
    </row>
    <row r="26" spans="1:14" ht="15.75">
      <c r="A26" s="50"/>
      <c r="B26" s="51"/>
      <c r="C26" s="51"/>
      <c r="D26" s="51"/>
      <c r="E26" s="51"/>
      <c r="F26" s="51"/>
      <c r="G26" s="51"/>
      <c r="H26" s="51"/>
      <c r="I26" s="51"/>
      <c r="J26" s="51"/>
      <c r="K26" s="51"/>
      <c r="L26" s="51"/>
      <c r="M26" s="51"/>
      <c r="N26" s="51"/>
    </row>
    <row r="28" spans="1:14" ht="15">
      <c r="A28" s="28"/>
      <c r="B28" s="52"/>
      <c r="C28" s="53"/>
      <c r="D28" s="53"/>
      <c r="E28" s="52"/>
      <c r="F28" s="52"/>
      <c r="G28" s="53"/>
      <c r="H28" s="53"/>
      <c r="I28" s="53"/>
      <c r="J28" s="53"/>
      <c r="K28" s="53"/>
      <c r="L28" s="53"/>
      <c r="M28" s="53"/>
      <c r="N28" s="28"/>
    </row>
    <row r="29" spans="2:13" ht="15">
      <c r="B29" s="49"/>
      <c r="C29" s="49"/>
      <c r="D29" s="49"/>
      <c r="E29" s="49"/>
      <c r="F29" s="49"/>
      <c r="G29" s="49"/>
      <c r="H29" s="49"/>
      <c r="I29" s="49"/>
      <c r="J29" s="49"/>
      <c r="K29" s="49"/>
      <c r="L29" s="49"/>
      <c r="M29" s="49"/>
    </row>
    <row r="30" spans="1:13" ht="15">
      <c r="A30" s="54"/>
      <c r="B30" s="49"/>
      <c r="C30" s="49"/>
      <c r="D30" s="49"/>
      <c r="E30" s="49"/>
      <c r="F30" s="49"/>
      <c r="G30" s="49"/>
      <c r="H30" s="49"/>
      <c r="I30" s="49"/>
      <c r="J30" s="49"/>
      <c r="K30" s="49"/>
      <c r="L30" s="49"/>
      <c r="M30" s="49"/>
    </row>
    <row r="31" spans="2:13" ht="15">
      <c r="B31" s="49"/>
      <c r="C31" s="49"/>
      <c r="D31" s="49"/>
      <c r="E31" s="49"/>
      <c r="F31" s="49"/>
      <c r="G31" s="49"/>
      <c r="H31" s="49"/>
      <c r="I31" s="49"/>
      <c r="J31" s="49"/>
      <c r="K31" s="49"/>
      <c r="L31" s="49"/>
      <c r="M31" s="49"/>
    </row>
    <row r="32" spans="2:13" ht="15">
      <c r="B32" s="49"/>
      <c r="C32" s="49"/>
      <c r="D32" s="49"/>
      <c r="E32" s="49"/>
      <c r="F32" s="49"/>
      <c r="G32" s="49"/>
      <c r="H32" s="49"/>
      <c r="I32" s="49"/>
      <c r="J32" s="49"/>
      <c r="K32" s="49"/>
      <c r="L32" s="49"/>
      <c r="M32" s="49"/>
    </row>
    <row r="33" spans="1:13" ht="15">
      <c r="A33" s="54"/>
      <c r="B33" s="49"/>
      <c r="C33" s="49"/>
      <c r="D33" s="49"/>
      <c r="E33" s="49"/>
      <c r="F33" s="49"/>
      <c r="G33" s="49"/>
      <c r="H33" s="49"/>
      <c r="I33" s="49"/>
      <c r="J33" s="49"/>
      <c r="K33" s="49"/>
      <c r="L33" s="49"/>
      <c r="M33" s="49"/>
    </row>
    <row r="34" spans="1:13" ht="15">
      <c r="A34" s="55"/>
      <c r="B34" s="49"/>
      <c r="C34" s="49"/>
      <c r="D34" s="49"/>
      <c r="E34" s="49"/>
      <c r="F34" s="49"/>
      <c r="G34" s="49"/>
      <c r="H34" s="49"/>
      <c r="I34" s="49"/>
      <c r="J34" s="49"/>
      <c r="K34" s="49"/>
      <c r="L34" s="49"/>
      <c r="M34" s="49"/>
    </row>
    <row r="35" spans="2:13" ht="15">
      <c r="B35" s="49"/>
      <c r="C35" s="49"/>
      <c r="D35" s="49"/>
      <c r="E35" s="49"/>
      <c r="F35" s="49"/>
      <c r="G35" s="49"/>
      <c r="H35" s="49"/>
      <c r="I35" s="49"/>
      <c r="J35" s="49"/>
      <c r="K35" s="49"/>
      <c r="L35" s="49"/>
      <c r="M35" s="49"/>
    </row>
    <row r="36" spans="2:13" ht="15">
      <c r="B36" s="49"/>
      <c r="C36" s="49"/>
      <c r="D36" s="49"/>
      <c r="E36" s="49"/>
      <c r="F36" s="49"/>
      <c r="G36" s="49"/>
      <c r="H36" s="49"/>
      <c r="I36" s="49"/>
      <c r="J36" s="49"/>
      <c r="K36" s="49"/>
      <c r="L36" s="49"/>
      <c r="M36" s="49"/>
    </row>
    <row r="37" spans="2:13" ht="15">
      <c r="B37" s="49"/>
      <c r="C37" s="49"/>
      <c r="D37" s="49"/>
      <c r="E37" s="49"/>
      <c r="F37" s="49"/>
      <c r="G37" s="49"/>
      <c r="H37" s="49"/>
      <c r="I37" s="49"/>
      <c r="J37" s="49"/>
      <c r="K37" s="49"/>
      <c r="L37" s="49"/>
      <c r="M37" s="49"/>
    </row>
    <row r="38" spans="2:13" ht="15">
      <c r="B38" s="49"/>
      <c r="C38" s="49"/>
      <c r="D38" s="49"/>
      <c r="E38" s="49"/>
      <c r="F38" s="49"/>
      <c r="G38" s="49"/>
      <c r="H38" s="49"/>
      <c r="I38" s="49"/>
      <c r="J38" s="49"/>
      <c r="K38" s="49"/>
      <c r="L38" s="49"/>
      <c r="M38" s="49"/>
    </row>
    <row r="39" spans="2:13" ht="15">
      <c r="B39" s="49"/>
      <c r="C39" s="49"/>
      <c r="D39" s="49"/>
      <c r="E39" s="49"/>
      <c r="F39" s="49"/>
      <c r="G39" s="49"/>
      <c r="H39" s="49"/>
      <c r="I39" s="49"/>
      <c r="J39" s="49"/>
      <c r="K39" s="49"/>
      <c r="L39" s="49"/>
      <c r="M39" s="49"/>
    </row>
    <row r="40" spans="2:13" ht="15">
      <c r="B40" s="49"/>
      <c r="C40" s="49"/>
      <c r="D40" s="49"/>
      <c r="E40" s="49"/>
      <c r="F40" s="49"/>
      <c r="G40" s="49"/>
      <c r="H40" s="49"/>
      <c r="I40" s="49"/>
      <c r="J40" s="49"/>
      <c r="K40" s="49"/>
      <c r="L40" s="49"/>
      <c r="M40" s="49"/>
    </row>
    <row r="41" spans="2:14" ht="15">
      <c r="B41" s="49"/>
      <c r="C41" s="49"/>
      <c r="D41" s="49"/>
      <c r="E41" s="49"/>
      <c r="F41" s="49"/>
      <c r="G41" s="49"/>
      <c r="H41" s="49"/>
      <c r="I41" s="49"/>
      <c r="J41" s="49"/>
      <c r="K41" s="49"/>
      <c r="L41" s="49"/>
      <c r="M41" s="49"/>
      <c r="N41" s="56"/>
    </row>
    <row r="42" spans="2:14" ht="15">
      <c r="B42" s="49"/>
      <c r="C42" s="49"/>
      <c r="D42" s="49"/>
      <c r="E42" s="49"/>
      <c r="F42" s="49"/>
      <c r="G42" s="49"/>
      <c r="H42" s="49"/>
      <c r="I42" s="49"/>
      <c r="J42" s="49"/>
      <c r="K42" s="49"/>
      <c r="L42" s="49"/>
      <c r="M42" s="49"/>
      <c r="N42" s="49"/>
    </row>
    <row r="44" ht="15">
      <c r="N44" s="49"/>
    </row>
  </sheetData>
  <sheetProtection sheet="1" objects="1" scenarios="1"/>
  <dataValidations count="2">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M3"/>
    <dataValidation allowBlank="1" showInputMessage="1" showErrorMessage="1" promptTitle="State Name" prompt="State name appears automatically when entered on the Calculation &#10;Worksheet in cell A1." sqref="A1"/>
  </dataValidations>
  <printOptions horizontalCentered="1"/>
  <pageMargins left="0.25" right="0.25" top="0.5" bottom="0.5" header="0.25" footer="0.5"/>
  <pageSetup fitToHeight="0" fitToWidth="1" horizontalDpi="600" verticalDpi="600" orientation="landscape" scale="89" r:id="rId1"/>
  <headerFooter alignWithMargins="0">
    <oddFooter>&amp;LOMB Approval #:  0970-0338&amp;RExpiration Date:  04/30/2011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zoomScaleSheetLayoutView="100" zoomScalePageLayoutView="0" workbookViewId="0" topLeftCell="A1">
      <selection activeCell="J7" sqref="J7"/>
    </sheetView>
  </sheetViews>
  <sheetFormatPr defaultColWidth="9.140625" defaultRowHeight="12.75"/>
  <cols>
    <col min="1" max="1" width="31.8515625" style="75" customWidth="1"/>
    <col min="2" max="2" width="9.140625" style="75" customWidth="1"/>
    <col min="3" max="3" width="5.140625" style="75" customWidth="1"/>
    <col min="4" max="4" width="28.28125" style="75" customWidth="1"/>
    <col min="5" max="5" width="14.57421875" style="75" customWidth="1"/>
    <col min="6" max="6" width="12.421875" style="75" customWidth="1"/>
    <col min="7" max="16384" width="9.140625" style="75" customWidth="1"/>
  </cols>
  <sheetData>
    <row r="1" spans="1:6" ht="15.75">
      <c r="A1" s="62" t="str">
        <f>IF('Calculation Worksheet'!A1="State?","",'Calculation Worksheet'!A1)</f>
        <v>State - Maine</v>
      </c>
      <c r="E1" s="76" t="s">
        <v>0</v>
      </c>
      <c r="F1" s="65">
        <f>IF('Calculation Worksheet'!F1="","",'Calculation Worksheet'!F1)</f>
        <v>2014</v>
      </c>
    </row>
    <row r="2" spans="5:6" ht="15.75" customHeight="1">
      <c r="E2" s="133" t="s">
        <v>53</v>
      </c>
      <c r="F2" s="141">
        <f>IF('Calculation Worksheet'!E2="","",'Calculation Worksheet'!E2)</f>
        <v>41572</v>
      </c>
    </row>
    <row r="3" spans="1:6" ht="21.75" customHeight="1">
      <c r="A3" s="77" t="s">
        <v>26</v>
      </c>
      <c r="B3" s="78"/>
      <c r="C3" s="79"/>
      <c r="D3" s="79"/>
      <c r="E3" s="79"/>
      <c r="F3" s="79"/>
    </row>
    <row r="4" spans="1:2" ht="14.25">
      <c r="A4" s="80"/>
      <c r="B4" s="81"/>
    </row>
    <row r="5" spans="1:5" ht="15.75">
      <c r="A5" s="82" t="s">
        <v>27</v>
      </c>
      <c r="B5" s="83"/>
      <c r="D5" s="65" t="s">
        <v>28</v>
      </c>
      <c r="E5" s="84"/>
    </row>
    <row r="6" spans="1:6" ht="15.75">
      <c r="A6" s="63" t="s">
        <v>24</v>
      </c>
      <c r="B6" s="74">
        <f>'Calculation Worksheet'!E6</f>
        <v>9612</v>
      </c>
      <c r="C6" s="85"/>
      <c r="D6" s="86" t="s">
        <v>29</v>
      </c>
      <c r="E6" s="84"/>
      <c r="F6" s="85"/>
    </row>
    <row r="7" spans="1:6" ht="15">
      <c r="A7" s="63" t="s">
        <v>25</v>
      </c>
      <c r="B7" s="73">
        <f>'Calculation Worksheet'!E7</f>
        <v>1870</v>
      </c>
      <c r="C7" s="85"/>
      <c r="D7" s="87" t="str">
        <f>IF(F1="","FY     Total Federal Expenditures","FY "&amp;F1-1&amp;" Total Federal Expenditures")</f>
        <v>FY 2013 Total Federal Expenditures</v>
      </c>
      <c r="F7" s="118">
        <v>45023287</v>
      </c>
    </row>
    <row r="8" spans="1:6" ht="15">
      <c r="A8" s="64" t="s">
        <v>23</v>
      </c>
      <c r="B8" s="88">
        <f>B6+B7</f>
        <v>11482</v>
      </c>
      <c r="C8" s="85"/>
      <c r="D8" s="87" t="str">
        <f>IF(F1="","FY      Total MOE Expenditures","FY "&amp;F1-1&amp;" Total MOE Expenditures")</f>
        <v>FY 2013 Total MOE Expenditures</v>
      </c>
      <c r="F8" s="118">
        <v>40296038</v>
      </c>
    </row>
    <row r="9" spans="1:6" ht="15">
      <c r="A9" s="63" t="str">
        <f>IF(F1="","FY        TANF Caseload","FY "&amp;F1-1&amp;" TANF Caseload")</f>
        <v>FY 2013 TANF Caseload</v>
      </c>
      <c r="B9" s="72">
        <f>'Calculation Worksheet'!E9</f>
        <v>6908</v>
      </c>
      <c r="C9" s="85"/>
      <c r="D9" s="89" t="s">
        <v>30</v>
      </c>
      <c r="F9" s="90">
        <f>(F7+F8)</f>
        <v>85319325</v>
      </c>
    </row>
    <row r="10" spans="1:3" ht="15">
      <c r="A10" s="63" t="str">
        <f>IF(F1="","FY        SSP Caseload","FY "&amp;F1-1&amp;" SSP Caseload")</f>
        <v>FY 2013 SSP Caseload</v>
      </c>
      <c r="B10" s="73">
        <f>'Calculation Worksheet'!E10</f>
        <v>21354</v>
      </c>
      <c r="C10" s="85"/>
    </row>
    <row r="11" spans="1:6" ht="15">
      <c r="A11" s="64" t="str">
        <f>IF(F1="","Total FY         Caseload","Total FY "&amp;F1-1&amp;" Caseload")</f>
        <v>Total FY 2013 Caseload</v>
      </c>
      <c r="B11" s="88">
        <f>B9+B10</f>
        <v>28262</v>
      </c>
      <c r="C11" s="85"/>
      <c r="D11" s="91" t="s">
        <v>31</v>
      </c>
      <c r="F11" s="92"/>
    </row>
    <row r="12" spans="1:6" ht="15.75">
      <c r="A12" s="85"/>
      <c r="B12" s="84"/>
      <c r="C12" s="85"/>
      <c r="D12" s="93" t="str">
        <f>IF(F1="","FY      Federal Expenditures on Assistance","FY "&amp;F1-1&amp;" Federal Expenditures on Assistance")</f>
        <v>FY 2013 Federal Expenditures on Assistance</v>
      </c>
      <c r="F12" s="118">
        <v>18959457</v>
      </c>
    </row>
    <row r="13" spans="1:6" ht="15.75">
      <c r="A13" s="127" t="s">
        <v>44</v>
      </c>
      <c r="B13" s="126"/>
      <c r="C13" s="85"/>
      <c r="D13" s="93" t="str">
        <f>IF(F1="","FY      MOE Expenditures on Assistance","FY "&amp;F1-1&amp;" MOE Expenditures on Assistance")</f>
        <v>FY 2013 MOE Expenditures on Assistance</v>
      </c>
      <c r="F13" s="118">
        <v>30863315</v>
      </c>
    </row>
    <row r="14" spans="1:6" ht="15">
      <c r="A14" s="138" t="s">
        <v>45</v>
      </c>
      <c r="B14" s="126">
        <f>'2-Parent Calculation Worksheet'!E6</f>
        <v>0</v>
      </c>
      <c r="C14" s="85"/>
      <c r="D14" s="94" t="s">
        <v>43</v>
      </c>
      <c r="F14" s="90">
        <f>SUM(F12+F13)</f>
        <v>49822772</v>
      </c>
    </row>
    <row r="15" spans="1:6" ht="15">
      <c r="A15" s="138" t="s">
        <v>46</v>
      </c>
      <c r="B15" s="130">
        <f>'2-Parent Calculation Worksheet'!E7</f>
        <v>0</v>
      </c>
      <c r="C15" s="85"/>
      <c r="D15" s="95" t="s">
        <v>32</v>
      </c>
      <c r="F15" s="97">
        <f>IF(F9=0,0,F14/F9)</f>
        <v>0.5839564717606475</v>
      </c>
    </row>
    <row r="16" spans="1:3" ht="15">
      <c r="A16" s="89" t="s">
        <v>23</v>
      </c>
      <c r="B16" s="88">
        <f>B14+B15</f>
        <v>0</v>
      </c>
      <c r="C16" s="85"/>
    </row>
    <row r="17" spans="1:6" ht="15">
      <c r="A17" s="139" t="str">
        <f>IF(F1="","FY        2-p TANF Caseload","FY "&amp;F1-1&amp;" 2-p TANF Caseload")</f>
        <v>FY 2013 2-p TANF Caseload</v>
      </c>
      <c r="B17" s="129">
        <f>'2-Parent Calculation Worksheet'!E9</f>
        <v>0</v>
      </c>
      <c r="C17" s="85"/>
      <c r="D17" s="91" t="s">
        <v>33</v>
      </c>
      <c r="F17" s="92"/>
    </row>
    <row r="18" spans="1:6" ht="15">
      <c r="A18" s="139" t="str">
        <f>IF(F1="","FY        2-p SSP Caseload","FY "&amp;F1-1&amp;" 2-p SSP Caseload")</f>
        <v>FY 2013 2-p SSP Caseload</v>
      </c>
      <c r="B18" s="131">
        <f>'2-Parent Calculation Worksheet'!E10</f>
        <v>0</v>
      </c>
      <c r="C18" s="85"/>
      <c r="D18" s="98" t="s">
        <v>34</v>
      </c>
      <c r="F18" s="92">
        <f>IF(B11=0,0,F9/B11)</f>
        <v>3018.870745170193</v>
      </c>
    </row>
    <row r="19" spans="1:6" ht="15">
      <c r="A19" s="64" t="str">
        <f>IF(F1="","Total FY         Caseload","Total FY "&amp;F1-1&amp;" Caseload")</f>
        <v>Total FY 2013 Caseload</v>
      </c>
      <c r="B19" s="88">
        <f>B17+B18</f>
        <v>0</v>
      </c>
      <c r="C19" s="85"/>
      <c r="D19" s="95" t="s">
        <v>35</v>
      </c>
      <c r="F19" s="92">
        <f>IF(B11=0,0,F14/B11)</f>
        <v>1762.8891090510226</v>
      </c>
    </row>
    <row r="20" ht="15">
      <c r="C20" s="85"/>
    </row>
    <row r="21" spans="3:6" ht="15">
      <c r="C21" s="85"/>
      <c r="D21" s="91" t="s">
        <v>36</v>
      </c>
      <c r="F21" s="90"/>
    </row>
    <row r="22" spans="3:6" ht="15">
      <c r="C22" s="85"/>
      <c r="D22" s="95" t="s">
        <v>37</v>
      </c>
      <c r="F22" s="118">
        <v>40025539</v>
      </c>
    </row>
    <row r="23" spans="3:6" ht="15">
      <c r="C23" s="85"/>
      <c r="D23" s="95" t="s">
        <v>38</v>
      </c>
      <c r="F23" s="99">
        <f>IF(F22=0,0,(F8-F22))</f>
        <v>270499</v>
      </c>
    </row>
    <row r="24" spans="3:6" ht="15">
      <c r="C24" s="85"/>
      <c r="D24" s="95" t="s">
        <v>39</v>
      </c>
      <c r="F24" s="90">
        <f>IF(F9=0,0,((F14/F9)*F23))</f>
        <v>157959.64165478337</v>
      </c>
    </row>
    <row r="25" spans="1:6" ht="15.75">
      <c r="A25" s="82" t="s">
        <v>41</v>
      </c>
      <c r="B25" s="88"/>
      <c r="C25" s="85"/>
      <c r="D25" s="95"/>
      <c r="F25" s="90"/>
    </row>
    <row r="26" spans="1:6" ht="15.75">
      <c r="A26" s="98" t="str">
        <f>IF(F1="","Adjusted FY      Overall Caseload","Adjusted FY "&amp;F1-1&amp;" Overall Caseload")</f>
        <v>Adjusted FY 2013 Overall Caseload</v>
      </c>
      <c r="B26" s="96">
        <f>IF(F26=0,0,B11-F26)</f>
        <v>28172.397289969183</v>
      </c>
      <c r="C26" s="85"/>
      <c r="D26" s="100" t="s">
        <v>40</v>
      </c>
      <c r="F26" s="101">
        <f>IF(F19=0,0,F24/F19)</f>
        <v>89.60271003081658</v>
      </c>
    </row>
    <row r="27" spans="1:6" ht="15.75">
      <c r="A27" s="75" t="str">
        <f>IF(F1="","Adjusted FY      2-parent Caseload","Adjusted FY "&amp;F1-1&amp;" 2-parent Caseload")</f>
        <v>Adjusted FY 2013 2-parent Caseload</v>
      </c>
      <c r="B27" s="128">
        <f>IF(F27=0,0,B19-F27)</f>
        <v>0</v>
      </c>
      <c r="C27" s="85"/>
      <c r="D27" s="145" t="s">
        <v>51</v>
      </c>
      <c r="E27" s="146"/>
      <c r="F27" s="132">
        <f>IF(F26=0,0,F26*(B19/B11))</f>
        <v>0</v>
      </c>
    </row>
    <row r="28" spans="3:6" ht="15.75">
      <c r="C28" s="104"/>
      <c r="D28" s="85"/>
      <c r="E28" s="102"/>
      <c r="F28" s="103"/>
    </row>
    <row r="29" spans="4:6" ht="15.75">
      <c r="D29" s="85"/>
      <c r="E29" s="102"/>
      <c r="F29" s="103"/>
    </row>
    <row r="30" spans="4:6" ht="15">
      <c r="D30" s="85"/>
      <c r="E30" s="85"/>
      <c r="F30" s="85"/>
    </row>
    <row r="31" spans="4:6" ht="15">
      <c r="D31" s="85"/>
      <c r="E31" s="83"/>
      <c r="F31" s="85"/>
    </row>
    <row r="32" spans="1:6" ht="15">
      <c r="A32" s="98"/>
      <c r="B32" s="88"/>
      <c r="D32" s="85"/>
      <c r="E32" s="85"/>
      <c r="F32" s="85"/>
    </row>
    <row r="33" spans="4:6" ht="15">
      <c r="D33" s="104"/>
      <c r="E33" s="104"/>
      <c r="F33" s="104"/>
    </row>
  </sheetData>
  <sheetProtection sheet="1" objects="1" scenarios="1"/>
  <mergeCells count="1">
    <mergeCell ref="D27:E27"/>
  </mergeCells>
  <dataValidations count="11">
    <dataValidation allowBlank="1" showInputMessage="1" showErrorMessage="1" promptTitle="Date of Completion" prompt="The date of completion enters automatically when entered on the Calculation Worksheet.  &#10;&#10;" errorTitle="Incorrect year format" error="You may only enter the 4-digit year with no letters.  " sqref="F2"/>
    <dataValidation allowBlank="1" showInputMessage="1" showErrorMessage="1" promptTitle="Fiscal Year" prompt="The FY to which the credit applies enters automatically when entered on the Calculation Worksheet.  &#10;&#10;Comparison year automatically calculated below." errorTitle="Incorrect year format" error="You may only enter the 4-digit year with no letters.  " sqref="F1"/>
    <dataValidation allowBlank="1" showInputMessage="1" showErrorMessage="1" promptTitle="State Name" prompt="State name appears automatically when entered on the Calculation Worksheet in cell A1." sqref="A1"/>
    <dataValidation allowBlank="1" showInputMessage="1" showErrorMessage="1" promptTitle="Do NOT Enter Data" prompt="Caseload data will automatically appear when entered on the Calculation Worksheet" sqref="B10 B6:B7"/>
    <dataValidation allowBlank="1" showInputMessage="1" showErrorMessage="1" promptTitle="Do NOT Enter Data " prompt="Caseload data will automatically appear when entered on the Calculation Worksheet" sqref="B9"/>
    <dataValidation type="whole" operator="greaterThan" allowBlank="1" showInputMessage="1" showErrorMessage="1" promptTitle="Required MOE Amount" prompt="Enter the dollar amount of the required minimum basic MOE." errorTitle="Required MOE Amount" error="You must enter the dollar amount (a whole number) of your MOE requirement." sqref="F22">
      <formula1>100</formula1>
    </dataValidation>
    <dataValidation type="whole" operator="greaterThan" allowBlank="1" showInputMessage="1" showErrorMessage="1" promptTitle="Total Federal Expenditures" prompt="Enter the total Federal dollars SPENT IN the fiscal year, including funds from earlier Federal grants expended during this fiscal year." errorTitle="Federal Expenditures" error="You must enter a whole number greater than 0." sqref="F7">
      <formula1>0</formula1>
    </dataValidation>
    <dataValidation type="whole" operator="greaterThanOrEqual" allowBlank="1" showInputMessage="1" showErrorMessage="1" promptTitle="Total MOE Expenditures" prompt="Enter all MOE expenditures, both within TANF and in separate State programs." errorTitle="MOE Expenditures" error="You must enter a whole number greater than 0." sqref="F8">
      <formula1>0</formula1>
    </dataValidation>
    <dataValidation type="whole" operator="greaterThan" allowBlank="1" showInputMessage="1" showErrorMessage="1" promptTitle="Federal Assistance Expenditures" prompt="Enter the total Federal expenditures on assistance for the fiscal year." errorTitle="Fed. Exp. on Assistance" error="You must enter a whole number greater than 0." sqref="F12">
      <formula1>0</formula1>
    </dataValidation>
    <dataValidation type="whole" operator="greaterThan" allowBlank="1" showInputMessage="1" showErrorMessage="1" promptTitle="MOE Assistance Expenditures" prompt="Enter the total MOE expenditures on assistance for the fiscal year." errorTitle="MOE Exp. on Assistance" error="You must enter a whole number greater than 0." sqref="F13">
      <formula1>0</formula1>
    </dataValidation>
    <dataValidation allowBlank="1" showInputMessage="1" showErrorMessage="1" promptTitle="Do NOT Enter Data" prompt="Caseload data will automatically appear when entered on the 2-Parent Calculation Worksheet" sqref="B14:B15 B17:B18"/>
  </dataValidations>
  <printOptions gridLines="1" headings="1" horizontalCentered="1"/>
  <pageMargins left="0.25" right="0.25" top="1.25" bottom="0.25" header="0.5" footer="0.5"/>
  <pageSetup fitToHeight="0" fitToWidth="1" horizontalDpi="600" verticalDpi="600" orientation="portrait" scale="98" r:id="rId1"/>
  <headerFooter alignWithMargins="0">
    <oddHeader>&amp;C&amp;"Arial,Bold"&amp;12FORM ACF-202 – TANF CASELOAD REDUCTION REPORT
Excess MOE Worksheet</oddHeader>
    <oddFooter>&amp;LOMB Approval No.:  0970-0338  &amp;RExpiration Date:      04/30/2011</oddFooter>
  </headerFooter>
</worksheet>
</file>

<file path=xl/worksheets/sheet6.xml><?xml version="1.0" encoding="utf-8"?>
<worksheet xmlns="http://schemas.openxmlformats.org/spreadsheetml/2006/main" xmlns:r="http://schemas.openxmlformats.org/officeDocument/2006/relationships">
  <dimension ref="A1:A56"/>
  <sheetViews>
    <sheetView zoomScalePageLayoutView="0" workbookViewId="0" topLeftCell="A1">
      <selection activeCell="K14" sqref="K14"/>
    </sheetView>
  </sheetViews>
  <sheetFormatPr defaultColWidth="9.140625" defaultRowHeight="12.75"/>
  <sheetData>
    <row r="1" ht="12.75">
      <c r="A1" s="142" t="s">
        <v>56</v>
      </c>
    </row>
    <row r="2" ht="12.75">
      <c r="A2" t="s">
        <v>88</v>
      </c>
    </row>
    <row r="3" ht="12.75">
      <c r="A3" s="143" t="s">
        <v>85</v>
      </c>
    </row>
    <row r="4" ht="12.75">
      <c r="A4" s="143"/>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s="143" t="s">
        <v>86</v>
      </c>
    </row>
    <row r="16" ht="12.75">
      <c r="A16" t="s">
        <v>87</v>
      </c>
    </row>
    <row r="17" ht="12.75">
      <c r="A17" s="143"/>
    </row>
    <row r="18" ht="12.75">
      <c r="A18" s="143" t="s">
        <v>89</v>
      </c>
    </row>
    <row r="19" ht="12.75">
      <c r="A19" s="143" t="s">
        <v>90</v>
      </c>
    </row>
    <row r="20" ht="12.75">
      <c r="A20" s="143" t="s">
        <v>68</v>
      </c>
    </row>
    <row r="21" ht="12.75">
      <c r="A21" t="s">
        <v>91</v>
      </c>
    </row>
    <row r="23" ht="12.75">
      <c r="A23" s="144" t="s">
        <v>95</v>
      </c>
    </row>
    <row r="24" ht="12.75">
      <c r="A24" t="s">
        <v>92</v>
      </c>
    </row>
    <row r="25" ht="12.75">
      <c r="A25" t="s">
        <v>93</v>
      </c>
    </row>
    <row r="26" ht="12.75">
      <c r="A26" t="s">
        <v>94</v>
      </c>
    </row>
    <row r="27" ht="12.75">
      <c r="A27" s="143"/>
    </row>
    <row r="28" ht="12.75">
      <c r="A28" s="143" t="s">
        <v>96</v>
      </c>
    </row>
    <row r="29" ht="12.75">
      <c r="A29" s="143" t="s">
        <v>69</v>
      </c>
    </row>
    <row r="30" ht="12.75">
      <c r="A30" s="143"/>
    </row>
    <row r="31" ht="12.75">
      <c r="A31" s="143"/>
    </row>
    <row r="33" ht="12.75">
      <c r="A33" s="142" t="s">
        <v>70</v>
      </c>
    </row>
    <row r="34" ht="12.75">
      <c r="A34" s="142" t="s">
        <v>71</v>
      </c>
    </row>
    <row r="35" ht="12.75">
      <c r="A35" t="s">
        <v>88</v>
      </c>
    </row>
    <row r="36" ht="12.75">
      <c r="A36" s="143" t="s">
        <v>97</v>
      </c>
    </row>
    <row r="38" ht="12.75">
      <c r="A38" t="s">
        <v>72</v>
      </c>
    </row>
    <row r="39" ht="12.75">
      <c r="A39" t="s">
        <v>73</v>
      </c>
    </row>
    <row r="40" ht="12.75">
      <c r="A40" t="s">
        <v>74</v>
      </c>
    </row>
    <row r="41" ht="12.75">
      <c r="A41" t="s">
        <v>75</v>
      </c>
    </row>
    <row r="42" ht="12.75">
      <c r="A42" t="s">
        <v>76</v>
      </c>
    </row>
    <row r="43" ht="12.75">
      <c r="A43" t="s">
        <v>77</v>
      </c>
    </row>
    <row r="44" ht="12.75">
      <c r="A44" t="s">
        <v>98</v>
      </c>
    </row>
    <row r="45" ht="12.75">
      <c r="A45" t="s">
        <v>99</v>
      </c>
    </row>
    <row r="46" ht="12.75">
      <c r="A46" t="s">
        <v>78</v>
      </c>
    </row>
    <row r="47" ht="12.75">
      <c r="A47" t="s">
        <v>79</v>
      </c>
    </row>
    <row r="48" ht="12.75">
      <c r="A48" t="s">
        <v>80</v>
      </c>
    </row>
    <row r="49" ht="12.75">
      <c r="A49" t="s">
        <v>81</v>
      </c>
    </row>
    <row r="50" ht="12.75">
      <c r="A50" t="s">
        <v>100</v>
      </c>
    </row>
    <row r="51" ht="12.75">
      <c r="A51" t="s">
        <v>101</v>
      </c>
    </row>
    <row r="52" ht="12.75">
      <c r="A52" t="s">
        <v>82</v>
      </c>
    </row>
    <row r="53" ht="12.75">
      <c r="A53" t="s">
        <v>83</v>
      </c>
    </row>
    <row r="55" ht="12.75">
      <c r="A55" s="143" t="s">
        <v>84</v>
      </c>
    </row>
    <row r="56" ht="12.75">
      <c r="A56" s="143" t="s">
        <v>102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JLSiegel</dc:creator>
  <cp:keywords/>
  <dc:description/>
  <cp:lastModifiedBy>michael.morin</cp:lastModifiedBy>
  <cp:lastPrinted>2008-10-22T15:46:07Z</cp:lastPrinted>
  <dcterms:created xsi:type="dcterms:W3CDTF">2006-05-25T21:33:52Z</dcterms:created>
  <dcterms:modified xsi:type="dcterms:W3CDTF">2013-11-15T14:22:17Z</dcterms:modified>
  <cp:category/>
  <cp:version/>
  <cp:contentType/>
  <cp:contentStatus/>
</cp:coreProperties>
</file>